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Jota\Desktop\Formacion MMCONECTA 4.26\DIA  1\"/>
    </mc:Choice>
  </mc:AlternateContent>
  <xr:revisionPtr revIDLastSave="0" documentId="13_ncr:1_{248E13D2-328D-40DF-942A-508ED73EBCCA}" xr6:coauthVersionLast="47" xr6:coauthVersionMax="47" xr10:uidLastSave="{00000000-0000-0000-0000-000000000000}"/>
  <bookViews>
    <workbookView minimized="1" xWindow="13545" yWindow="1995" windowWidth="15090" windowHeight="12330" tabRatio="500" xr2:uid="{00000000-000D-0000-FFFF-FFFF00000000}"/>
  </bookViews>
  <sheets>
    <sheet name="DATOS" sheetId="1" r:id="rId1"/>
    <sheet name="DASHBOARD" sheetId="2" r:id="rId2"/>
    <sheet name="INSTRUCCIONES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" i="1" l="1"/>
  <c r="L3" i="1"/>
  <c r="K4" i="1"/>
  <c r="L4" i="1"/>
  <c r="K5" i="1"/>
  <c r="L5" i="1"/>
  <c r="K6" i="1"/>
  <c r="L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K15" i="1"/>
  <c r="L15" i="1"/>
  <c r="K16" i="1"/>
  <c r="L16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K33" i="1"/>
  <c r="L33" i="1"/>
  <c r="K34" i="1"/>
  <c r="L34" i="1"/>
  <c r="C30" i="2"/>
  <c r="F30" i="2" s="1"/>
  <c r="C29" i="2"/>
  <c r="B29" i="2" s="1"/>
  <c r="C28" i="2"/>
  <c r="E28" i="2" s="1"/>
  <c r="C27" i="2"/>
  <c r="F27" i="2" s="1"/>
  <c r="C26" i="2"/>
  <c r="D26" i="2" s="1"/>
  <c r="C25" i="2"/>
  <c r="B25" i="2" s="1"/>
  <c r="C24" i="2"/>
  <c r="E24" i="2" s="1"/>
  <c r="C23" i="2"/>
  <c r="F23" i="2" s="1"/>
  <c r="C22" i="2"/>
  <c r="D22" i="2" s="1"/>
  <c r="C21" i="2"/>
  <c r="B21" i="2" s="1"/>
  <c r="F16" i="2"/>
  <c r="E16" i="2"/>
  <c r="D16" i="2"/>
  <c r="C16" i="2"/>
  <c r="F15" i="2"/>
  <c r="E15" i="2"/>
  <c r="D15" i="2"/>
  <c r="C15" i="2"/>
  <c r="F14" i="2"/>
  <c r="E14" i="2"/>
  <c r="D14" i="2"/>
  <c r="C14" i="2"/>
  <c r="F13" i="2"/>
  <c r="E13" i="2"/>
  <c r="D13" i="2"/>
  <c r="C13" i="2"/>
  <c r="K12" i="2"/>
  <c r="J12" i="2"/>
  <c r="F12" i="2"/>
  <c r="E12" i="2"/>
  <c r="D12" i="2"/>
  <c r="C12" i="2"/>
  <c r="K11" i="2"/>
  <c r="J11" i="2"/>
  <c r="F11" i="2"/>
  <c r="E11" i="2"/>
  <c r="D11" i="2"/>
  <c r="C11" i="2"/>
  <c r="K10" i="2"/>
  <c r="J10" i="2"/>
  <c r="F10" i="2"/>
  <c r="E10" i="2"/>
  <c r="D10" i="2"/>
  <c r="C10" i="2"/>
  <c r="K9" i="2"/>
  <c r="J9" i="2"/>
  <c r="F9" i="2"/>
  <c r="E9" i="2"/>
  <c r="D9" i="2"/>
  <c r="C9" i="2"/>
  <c r="K8" i="2"/>
  <c r="J8" i="2"/>
  <c r="F8" i="2"/>
  <c r="E8" i="2"/>
  <c r="D8" i="2"/>
  <c r="C8" i="2"/>
  <c r="O4" i="2"/>
  <c r="M4" i="2"/>
  <c r="K4" i="2"/>
  <c r="I4" i="2"/>
  <c r="G4" i="2"/>
  <c r="C4" i="2"/>
  <c r="J51" i="1"/>
  <c r="B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J28" i="2"/>
  <c r="K51" i="1" l="1"/>
  <c r="J27" i="2"/>
  <c r="I27" i="2" s="1"/>
  <c r="J24" i="2"/>
  <c r="L24" i="2" s="1"/>
  <c r="J26" i="2"/>
  <c r="K26" i="2" s="1"/>
  <c r="J25" i="2"/>
  <c r="J23" i="2"/>
  <c r="M23" i="2" s="1"/>
  <c r="J13" i="2"/>
  <c r="K13" i="2"/>
  <c r="E26" i="2"/>
  <c r="E22" i="2"/>
  <c r="F26" i="2"/>
  <c r="F22" i="2"/>
  <c r="J22" i="2"/>
  <c r="I22" i="2" s="1"/>
  <c r="B24" i="2"/>
  <c r="C17" i="2"/>
  <c r="E17" i="2"/>
  <c r="D17" i="2"/>
  <c r="M10" i="2"/>
  <c r="M9" i="2"/>
  <c r="F17" i="2"/>
  <c r="D23" i="2"/>
  <c r="D27" i="2"/>
  <c r="E27" i="2"/>
  <c r="M12" i="2"/>
  <c r="M11" i="2"/>
  <c r="M26" i="2"/>
  <c r="L26" i="2"/>
  <c r="M24" i="2"/>
  <c r="K24" i="2"/>
  <c r="I24" i="2"/>
  <c r="M28" i="2"/>
  <c r="L28" i="2"/>
  <c r="K28" i="2"/>
  <c r="I28" i="2"/>
  <c r="K27" i="2"/>
  <c r="M25" i="2"/>
  <c r="L25" i="2"/>
  <c r="K25" i="2"/>
  <c r="I25" i="2"/>
  <c r="L8" i="2"/>
  <c r="L12" i="2"/>
  <c r="G8" i="2"/>
  <c r="G16" i="2"/>
  <c r="D21" i="2"/>
  <c r="B22" i="2"/>
  <c r="F24" i="2"/>
  <c r="D25" i="2"/>
  <c r="B26" i="2"/>
  <c r="F28" i="2"/>
  <c r="D29" i="2"/>
  <c r="M8" i="2"/>
  <c r="J21" i="2"/>
  <c r="G9" i="2"/>
  <c r="E21" i="2"/>
  <c r="E25" i="2"/>
  <c r="E29" i="2"/>
  <c r="G10" i="2"/>
  <c r="F21" i="2"/>
  <c r="B23" i="2"/>
  <c r="F25" i="2"/>
  <c r="B27" i="2"/>
  <c r="F29" i="2"/>
  <c r="G11" i="2"/>
  <c r="G15" i="2"/>
  <c r="B30" i="2"/>
  <c r="B28" i="2"/>
  <c r="L9" i="2"/>
  <c r="G12" i="2"/>
  <c r="D30" i="2"/>
  <c r="L10" i="2"/>
  <c r="G13" i="2"/>
  <c r="E23" i="2"/>
  <c r="E4" i="2"/>
  <c r="L11" i="2"/>
  <c r="G14" i="2"/>
  <c r="D24" i="2"/>
  <c r="D28" i="2"/>
  <c r="E30" i="2"/>
  <c r="L27" i="2" l="1"/>
  <c r="M27" i="2"/>
  <c r="I26" i="2"/>
  <c r="I23" i="2"/>
  <c r="M13" i="2"/>
  <c r="K23" i="2"/>
  <c r="L23" i="2"/>
  <c r="K22" i="2"/>
  <c r="L22" i="2"/>
  <c r="M22" i="2"/>
  <c r="G17" i="2"/>
  <c r="L13" i="2"/>
  <c r="M21" i="2"/>
  <c r="L21" i="2"/>
  <c r="K21" i="2"/>
  <c r="I21" i="2"/>
</calcChain>
</file>

<file path=xl/sharedStrings.xml><?xml version="1.0" encoding="utf-8"?>
<sst xmlns="http://schemas.openxmlformats.org/spreadsheetml/2006/main" count="333" uniqueCount="208">
  <si>
    <t>PIPELINE COMERCIAL MMCONECTA 2026  —  Modifica los datos aquí · El Dashboard se actualiza automáticamente</t>
  </si>
  <si>
    <t>PROYECTO</t>
  </si>
  <si>
    <t>IMPORTE (k€)</t>
  </si>
  <si>
    <t>FASE</t>
  </si>
  <si>
    <t>RESPONSABLE</t>
  </si>
  <si>
    <t>CONSTRUCTORA</t>
  </si>
  <si>
    <t>INSTALADORA</t>
  </si>
  <si>
    <t>MARCA PLIEGO</t>
  </si>
  <si>
    <t>FECHA OFERTA</t>
  </si>
  <si>
    <t>FECHA EST. ADJ.</t>
  </si>
  <si>
    <t>PROB. %</t>
  </si>
  <si>
    <t>PIPELINE POND. k€</t>
  </si>
  <si>
    <t>DÍAS SIN MOVER</t>
  </si>
  <si>
    <t>COMENTARIOS</t>
  </si>
  <si>
    <t>COMPLEJO INDUS. ARAGON 320</t>
  </si>
  <si>
    <t>Ofertado</t>
  </si>
  <si>
    <t>Carlos</t>
  </si>
  <si>
    <t>Constructora Norte</t>
  </si>
  <si>
    <t>Itelec</t>
  </si>
  <si>
    <t>MM</t>
  </si>
  <si>
    <t>Pliego Eficigelec. Pendiente adj. constructora</t>
  </si>
  <si>
    <t>CUARTEL CUERPO SEGURIDAD NORTE</t>
  </si>
  <si>
    <t>Miguel</t>
  </si>
  <si>
    <t>Grupo Obrasur</t>
  </si>
  <si>
    <t>Competidor L / OBO</t>
  </si>
  <si>
    <t>OBBO suelo y Competidor L pared</t>
  </si>
  <si>
    <t>AGENCIA TRIBUTARIA LEVANTE</t>
  </si>
  <si>
    <t>Ganado</t>
  </si>
  <si>
    <t>David</t>
  </si>
  <si>
    <t>Edificar S.A.</t>
  </si>
  <si>
    <t>Almacenelec</t>
  </si>
  <si>
    <t>1600 cajas. Para después de verano</t>
  </si>
  <si>
    <t>HOSPITAL CENTRAL NORTE</t>
  </si>
  <si>
    <t>En estudio</t>
  </si>
  <si>
    <t>Sumiconex</t>
  </si>
  <si>
    <t>SEDE ENERGAL</t>
  </si>
  <si>
    <t>Salimos en pliegos. Adjudicado</t>
  </si>
  <si>
    <t>ED. ADMIN. CASTELLANA 120</t>
  </si>
  <si>
    <t>Villa Instalaciones</t>
  </si>
  <si>
    <t>Competidor S</t>
  </si>
  <si>
    <t>HOSPITAL CLINICO NORTE</t>
  </si>
  <si>
    <t>Construvial</t>
  </si>
  <si>
    <t>Electrosur</t>
  </si>
  <si>
    <t>Varios instaladores</t>
  </si>
  <si>
    <t>CENTRO PREMIUM BRANDEX</t>
  </si>
  <si>
    <t>Edimark Const.</t>
  </si>
  <si>
    <t>Telecable</t>
  </si>
  <si>
    <t>MM / Competidor S</t>
  </si>
  <si>
    <t>Cambio marcas por precios</t>
  </si>
  <si>
    <t>ARCHIVO HISTORICO NORTE</t>
  </si>
  <si>
    <t>Va para largo</t>
  </si>
  <si>
    <t>CENTRO TECNICO SUR</t>
  </si>
  <si>
    <t>Redinstall</t>
  </si>
  <si>
    <t>NUEVO EDIF. ADMIN. CATALUÑA</t>
  </si>
  <si>
    <t>Laura</t>
  </si>
  <si>
    <t>Distroelec</t>
  </si>
  <si>
    <t>Adj. según Laura</t>
  </si>
  <si>
    <t>HOSPITAL COMARCAL INTERIOR</t>
  </si>
  <si>
    <t>Simon en pliegos. Eleko contacto dist.</t>
  </si>
  <si>
    <t>OFICINAS ASEGURADISA PSO. RECOLETOS</t>
  </si>
  <si>
    <t>Marca Premium W</t>
  </si>
  <si>
    <t>Perdimos Edif. Watson contra Wieland</t>
  </si>
  <si>
    <t>EDIF. ADMIN. SEVILLA AV. CONSTITUCION</t>
  </si>
  <si>
    <t>Berdín</t>
  </si>
  <si>
    <t>Pendiente adjudicar constructora</t>
  </si>
  <si>
    <t>MUTUA NORTE ALCALA</t>
  </si>
  <si>
    <t>TEI / Electroluz / Electrosur</t>
  </si>
  <si>
    <t>MM gama standard + conectores Marca B</t>
  </si>
  <si>
    <t>CENTRO EMERGENCIAS 112 CASTILLA</t>
  </si>
  <si>
    <t>Guarcoel</t>
  </si>
  <si>
    <t>VELAZQUEZ NORTE 34</t>
  </si>
  <si>
    <t>Gestionelec</t>
  </si>
  <si>
    <t>HOSPITAL REGIONAL SUR</t>
  </si>
  <si>
    <t>Itelec / Cronelec / Electrosur</t>
  </si>
  <si>
    <t>Sin marcas en pliegos</t>
  </si>
  <si>
    <t>PROYECTO OMEGA</t>
  </si>
  <si>
    <t>Conexelec</t>
  </si>
  <si>
    <t>Rosetas</t>
  </si>
  <si>
    <t>JUZGADOS CORREDOR HENARES</t>
  </si>
  <si>
    <t>ORGANISMO SEGURIDAD NACIONAL</t>
  </si>
  <si>
    <t>Itelec / Construvial / Redinstall</t>
  </si>
  <si>
    <t>Varias sedes</t>
  </si>
  <si>
    <t>ESTADIO DEPORTIVO OESTE</t>
  </si>
  <si>
    <t>Redmaq</t>
  </si>
  <si>
    <t>LOGISTICO TEXTIL LEVANTE</t>
  </si>
  <si>
    <t>Distroelec Toledo</t>
  </si>
  <si>
    <t>HOSPITAL MATERNO EXTREMADURA</t>
  </si>
  <si>
    <t>Inseconsa</t>
  </si>
  <si>
    <t>Sin marcas. Enchufes con piloto</t>
  </si>
  <si>
    <t>HOSPITAL PROV. EXTREMADURA F2</t>
  </si>
  <si>
    <t>Itelec / Grupo Obrasur</t>
  </si>
  <si>
    <t>UNIVERSIDAD PRIVADA SUR MALAGA</t>
  </si>
  <si>
    <t>Edimark</t>
  </si>
  <si>
    <t>SEI Montajes</t>
  </si>
  <si>
    <t>Hablando con Almacenelec</t>
  </si>
  <si>
    <t>IES LITORAL LEVANTE</t>
  </si>
  <si>
    <t>Buildex</t>
  </si>
  <si>
    <t>Almacenelec SUR</t>
  </si>
  <si>
    <t>Competidor L</t>
  </si>
  <si>
    <t>Competidor L en pliegos</t>
  </si>
  <si>
    <t>CIUDAD JUSTICIA MADRID LOTE 1</t>
  </si>
  <si>
    <t>Alex</t>
  </si>
  <si>
    <t>Avance/Terval/Arcoval</t>
  </si>
  <si>
    <t>Electrosur / Distroelec</t>
  </si>
  <si>
    <t>CIMA en pliegos tipo hospital</t>
  </si>
  <si>
    <t>CIUDAD JUSTICIA MADRID LOTE 2</t>
  </si>
  <si>
    <t>Edificar/Cimsa</t>
  </si>
  <si>
    <t>Cronelec / Orion Inst.</t>
  </si>
  <si>
    <t>Pliego raro. JG Ingenieros</t>
  </si>
  <si>
    <t>CENTRO SANITARIO EDIF. K</t>
  </si>
  <si>
    <t>Sumiferr / Viales Inst. / Electrosur</t>
  </si>
  <si>
    <t>Competidor SH</t>
  </si>
  <si>
    <t>Enchufes con piloto</t>
  </si>
  <si>
    <t>INSTALACIONES DEFENSA NORTE</t>
  </si>
  <si>
    <t>Sin pliegos</t>
  </si>
  <si>
    <t>NUEVA SEDE DEPORTIVA LEVANTE</t>
  </si>
  <si>
    <t>Almacenelec Albacete</t>
  </si>
  <si>
    <t>LABORATORIO INVESTIGACION PUBLICA</t>
  </si>
  <si>
    <t>Sumibox</t>
  </si>
  <si>
    <t>EDIF. OFICINAS COMPLEJO DEPORTIVO</t>
  </si>
  <si>
    <t>Grupo Obrasur Industrial</t>
  </si>
  <si>
    <t>TEI</t>
  </si>
  <si>
    <t>RED FERROVIARIA NORTE CANTABRICO</t>
  </si>
  <si>
    <t>Comsa / Edimark / Constructora Norte</t>
  </si>
  <si>
    <t>SEDE ENERGAR FASE 2</t>
  </si>
  <si>
    <t>Electrosur / Nortelec / Estructel</t>
  </si>
  <si>
    <t>SEDE MUNICIPIO ISLAS</t>
  </si>
  <si>
    <t>Distroelec Tenerife</t>
  </si>
  <si>
    <t>PLANTA INDUSTRIAL PORTUGAL</t>
  </si>
  <si>
    <t>Elena</t>
  </si>
  <si>
    <t>Nexodata</t>
  </si>
  <si>
    <t>UNIVERSIDAD PRIVADA NORTE</t>
  </si>
  <si>
    <t>Instamad</t>
  </si>
  <si>
    <t>TECHGLOBAL LA FINCA</t>
  </si>
  <si>
    <t>Redmaq / TEI</t>
  </si>
  <si>
    <t>CADENA HOSTELERIA NACIONAL</t>
  </si>
  <si>
    <t>Orion Inst.</t>
  </si>
  <si>
    <t>ORGANISMO COMERCIO EXTERIOR</t>
  </si>
  <si>
    <t>Einsal</t>
  </si>
  <si>
    <t>FINTECH NORTE LEON</t>
  </si>
  <si>
    <t>AMPLIACION JUZGADOS EXTREMADURA</t>
  </si>
  <si>
    <t>Grupo Constructivo CV</t>
  </si>
  <si>
    <t>OFICINAS FERROVIARIAS AV. AMERICA 4</t>
  </si>
  <si>
    <t>DEPORTE RETAIL GETAFE</t>
  </si>
  <si>
    <t>Perdido</t>
  </si>
  <si>
    <t>Nortelec</t>
  </si>
  <si>
    <t>Competidor C</t>
  </si>
  <si>
    <t>Cambiaron a minicolumnas doble cara</t>
  </si>
  <si>
    <t>BIBLIOTECA REGIONAL SEGOVIA</t>
  </si>
  <si>
    <t>Constructora Isolux</t>
  </si>
  <si>
    <t>MM / Competidor C</t>
  </si>
  <si>
    <t>Prescrito. Pusieron Competidor C</t>
  </si>
  <si>
    <t>SEGURIDAD SOCIAL DONOSTIA</t>
  </si>
  <si>
    <t>Grupo Obrasur Ind.</t>
  </si>
  <si>
    <t>Necesitaban caja max 5cm. Pusieron Competidor C</t>
  </si>
  <si>
    <t>TOTAL / MEDIA</t>
  </si>
  <si>
    <t>DASHBOARD PIPELINE — MMCONECTA 2026  |  Se actualiza automáticamente al cambiar datos en hoja DATOS</t>
  </si>
  <si>
    <t>PIPELINE TOTAL (k€)</t>
  </si>
  <si>
    <t>PIPELINE POND. (k€)</t>
  </si>
  <si>
    <t>Nº OFERTADOS</t>
  </si>
  <si>
    <t>Nº GANADOS</t>
  </si>
  <si>
    <t>Nº PERDIDOS</t>
  </si>
  <si>
    <t>TASA CONV. %</t>
  </si>
  <si>
    <t>PROB. MEDIA OFERTADOS</t>
  </si>
  <si>
    <t>📊  PIPELINE POR RESPONSABLE</t>
  </si>
  <si>
    <t>📊  PIPELINE POR FASE</t>
  </si>
  <si>
    <t>OFERTADOS (k€)</t>
  </si>
  <si>
    <t>GANADOS (k€)</t>
  </si>
  <si>
    <t>PERDIDOS (k€)</t>
  </si>
  <si>
    <t>Nº OFERT.</t>
  </si>
  <si>
    <t>PIPELINE POND.</t>
  </si>
  <si>
    <t>Nº PROYECTOS</t>
  </si>
  <si>
    <t>IMPORTE TOTAL (k€)</t>
  </si>
  <si>
    <t>% SOBRE TOTAL</t>
  </si>
  <si>
    <t>Adjudicado</t>
  </si>
  <si>
    <t>Javier</t>
  </si>
  <si>
    <t>TOTAL</t>
  </si>
  <si>
    <t>Sergio</t>
  </si>
  <si>
    <t>Pablo</t>
  </si>
  <si>
    <t>🏆  TOP 10 PROYECTOS POR IMPORTE (ofertados)</t>
  </si>
  <si>
    <t>⚠️  PROYECTOS SIN MOVER +60 DÍAS</t>
  </si>
  <si>
    <t>RESP.</t>
  </si>
  <si>
    <t>PROB.</t>
  </si>
  <si>
    <t>COMENTARIO</t>
  </si>
  <si>
    <t>💡  CÓMO USAR:  Edita cualquier dato en la hoja 📋 DATOS  →  Vuelve aquí  →  El dashboard se actualiza solo. Pulsa Ctrl+Alt+F9 si los datos no se refrescan.</t>
  </si>
  <si>
    <t>CÓMO USAR ESTE ARCHIVO</t>
  </si>
  <si>
    <t>📋 HOJA DATOS  —  Aquí introduces y editas todos los proyectos. Cada fila = un proyecto.</t>
  </si>
  <si>
    <t xml:space="preserve">    PROYECTO: Nombre del proyecto. Escribe libremente.</t>
  </si>
  <si>
    <t xml:space="preserve">    IMPORTE (k€): Importe en miles de euros. Solo números.</t>
  </si>
  <si>
    <t xml:space="preserve">    FASE: Desplegable: En estudio / Ofertado / Adjudicado / Ganado / Perdido</t>
  </si>
  <si>
    <t xml:space="preserve">    RESPONSABLE: Desplegable con los nombres del equipo.</t>
  </si>
  <si>
    <t xml:space="preserve">    CONSTRUCTORA / INSTALADORA: Empresa constructora e instaladora eléctrica.</t>
  </si>
  <si>
    <t xml:space="preserve">    MARCA PLIEGO: Qué marca de competencia sale especificada en el pliego.</t>
  </si>
  <si>
    <t xml:space="preserve">    FECHA OFERTA / FECHA EST. ADJ.: Fechas en formato DD/MM/AAAA.</t>
  </si>
  <si>
    <t xml:space="preserve">    PROB. %: Probabilidad de ganar: escribe 0.35 para 35%, 1 para 100%.</t>
  </si>
  <si>
    <t xml:space="preserve">    PIPELINE POND. k€: Se calcula solo: Importe × Probabilidad.</t>
  </si>
  <si>
    <t xml:space="preserve">    DÍAS SIN MOVER: Se calcula solo: días desde la fecha de oferta. Rojo si &gt;60 días.</t>
  </si>
  <si>
    <t xml:space="preserve">    COMENTARIOS: Campo libre para notas de seguimiento.</t>
  </si>
  <si>
    <t>📊 HOJA DASHBOARD  —  Se actualiza automáticamente al cambiar datos. No edites nada aquí.</t>
  </si>
  <si>
    <t xml:space="preserve">    KPIs superiores: Pipeline total, ponderado, nº ofertados, ganados, perdidos, tasa de conversión.</t>
  </si>
  <si>
    <t xml:space="preserve">    Por responsable: Importe ofertado, ganado y perdido por cada comercial.</t>
  </si>
  <si>
    <t xml:space="preserve">    Por fase: Distribución del pipeline por estado.</t>
  </si>
  <si>
    <t xml:space="preserve">    Top 10: Los 10 proyectos ofertados de mayor importe.</t>
  </si>
  <si>
    <t xml:space="preserve">    Proyectos parados: Los proyectos con más días sin actualización. Prioridad de seguimiento.</t>
  </si>
  <si>
    <t>⚠️ IMPORTANTE  —  Si los datos no se actualizan en el Dashboard: Ctrl + Alt + F9 para recalcular.</t>
  </si>
  <si>
    <t xml:space="preserve">    AÑADIR FILAS: Inserta filas nuevas dentro de la tabla de datos (antes de la fila TOTAL).</t>
  </si>
  <si>
    <t xml:space="preserve">    COPIAR FÓRMULAS: Las columnas K y L tienen fórmulas — cópialas hacia abajo al añadir filas.</t>
  </si>
  <si>
    <t xml:space="preserve">contriu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</si>
</sst>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charset val="1"/>
    </font>
    <font>
      <b/>
      <sz val="12"/>
      <color rgb="FFFFFFFF"/>
      <name val="Arial"/>
      <charset val="1"/>
    </font>
    <font>
      <b/>
      <sz val="10"/>
      <color rgb="FFFFFFFF"/>
      <name val="Arial"/>
      <charset val="1"/>
    </font>
    <font>
      <sz val="9"/>
      <color rgb="FF1A1A1A"/>
      <name val="Arial"/>
      <charset val="1"/>
    </font>
    <font>
      <b/>
      <sz val="13"/>
      <color rgb="FFFFFFFF"/>
      <name val="Arial"/>
      <charset val="1"/>
    </font>
    <font>
      <b/>
      <sz val="9"/>
      <color rgb="FFFFFFFF"/>
      <name val="Arial"/>
      <charset val="1"/>
    </font>
    <font>
      <b/>
      <sz val="20"/>
      <color rgb="FF1F4E79"/>
      <name val="Arial"/>
      <charset val="1"/>
    </font>
    <font>
      <b/>
      <sz val="9"/>
      <color rgb="FF1A1A1A"/>
      <name val="Arial"/>
      <charset val="1"/>
    </font>
    <font>
      <i/>
      <sz val="9"/>
      <color rgb="FF7F4A00"/>
      <name val="Arial"/>
      <charset val="1"/>
    </font>
    <font>
      <b/>
      <sz val="14"/>
      <color rgb="FFFFFFFF"/>
      <name val="Arial"/>
      <charset val="1"/>
    </font>
  </fonts>
  <fills count="14">
    <fill>
      <patternFill patternType="none"/>
    </fill>
    <fill>
      <patternFill patternType="gray125"/>
    </fill>
    <fill>
      <patternFill patternType="solid">
        <fgColor rgb="FF1F4E79"/>
        <bgColor rgb="FF2E75B6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F5F5F5"/>
      </patternFill>
    </fill>
    <fill>
      <patternFill patternType="solid">
        <fgColor rgb="FFBDD7EE"/>
        <bgColor rgb="FFCCCCCC"/>
      </patternFill>
    </fill>
    <fill>
      <patternFill patternType="solid">
        <fgColor rgb="FFE2EFDA"/>
        <bgColor rgb="FFF5F5F5"/>
      </patternFill>
    </fill>
    <fill>
      <patternFill patternType="solid">
        <fgColor rgb="FFF5F5F5"/>
        <bgColor rgb="FFFFFFFF"/>
      </patternFill>
    </fill>
    <fill>
      <patternFill patternType="solid">
        <fgColor rgb="FFFFE4E4"/>
        <bgColor rgb="FFFFD7D7"/>
      </patternFill>
    </fill>
    <fill>
      <patternFill patternType="solid">
        <fgColor rgb="FF5B2C8D"/>
        <bgColor rgb="FF660066"/>
      </patternFill>
    </fill>
    <fill>
      <patternFill patternType="solid">
        <fgColor rgb="FFD9D9D9"/>
        <bgColor rgb="FFCCCCCC"/>
      </patternFill>
    </fill>
    <fill>
      <patternFill patternType="solid">
        <fgColor rgb="FFFFF2CC"/>
        <bgColor rgb="FFFFE4E4"/>
      </patternFill>
    </fill>
    <fill>
      <patternFill patternType="solid">
        <fgColor rgb="FFC00000"/>
        <bgColor rgb="FF800000"/>
      </patternFill>
    </fill>
    <fill>
      <patternFill patternType="solid">
        <fgColor rgb="FFFFD7D7"/>
        <bgColor rgb="FFFFE4E4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left" vertical="center"/>
    </xf>
    <xf numFmtId="9" fontId="3" fillId="4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left" vertical="center"/>
    </xf>
    <xf numFmtId="9" fontId="3" fillId="5" borderId="1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left" vertical="center"/>
    </xf>
    <xf numFmtId="9" fontId="3" fillId="6" borderId="1" xfId="0" applyNumberFormat="1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/>
    </xf>
    <xf numFmtId="9" fontId="3" fillId="7" borderId="1" xfId="0" applyNumberFormat="1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14" fontId="3" fillId="8" borderId="1" xfId="0" applyNumberFormat="1" applyFont="1" applyFill="1" applyBorder="1" applyAlignment="1">
      <alignment horizontal="left" vertical="center"/>
    </xf>
    <xf numFmtId="9" fontId="3" fillId="8" borderId="1" xfId="0" applyNumberFormat="1" applyFont="1" applyFill="1" applyBorder="1" applyAlignment="1">
      <alignment horizontal="center" vertical="center"/>
    </xf>
    <xf numFmtId="3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2" fillId="2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/>
    <xf numFmtId="0" fontId="7" fillId="10" borderId="1" xfId="0" applyFont="1" applyFill="1" applyBorder="1" applyAlignment="1"/>
    <xf numFmtId="3" fontId="3" fillId="10" borderId="1" xfId="0" applyNumberFormat="1" applyFont="1" applyFill="1" applyBorder="1" applyAlignment="1">
      <alignment horizontal="center" vertical="center"/>
    </xf>
    <xf numFmtId="164" fontId="3" fillId="10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/>
    <xf numFmtId="0" fontId="7" fillId="5" borderId="1" xfId="0" applyFont="1" applyFill="1" applyBorder="1" applyAlignment="1"/>
    <xf numFmtId="164" fontId="3" fillId="5" borderId="1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/>
    <xf numFmtId="3" fontId="3" fillId="11" borderId="1" xfId="0" applyNumberFormat="1" applyFont="1" applyFill="1" applyBorder="1" applyAlignment="1">
      <alignment horizontal="center" vertical="center"/>
    </xf>
    <xf numFmtId="164" fontId="3" fillId="11" borderId="1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/>
    <xf numFmtId="164" fontId="3" fillId="6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/>
    <xf numFmtId="164" fontId="3" fillId="8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3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/>
    <xf numFmtId="0" fontId="5" fillId="12" borderId="1" xfId="0" applyFont="1" applyFill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left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left" vertical="center"/>
    </xf>
    <xf numFmtId="49" fontId="3" fillId="8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3" fillId="13" borderId="1" xfId="0" applyNumberFormat="1" applyFont="1" applyFill="1" applyBorder="1" applyAlignment="1">
      <alignment horizontal="left" vertical="center"/>
    </xf>
    <xf numFmtId="3" fontId="3" fillId="13" borderId="1" xfId="0" applyNumberFormat="1" applyFont="1" applyFill="1" applyBorder="1" applyAlignment="1">
      <alignment horizontal="center" vertical="center"/>
    </xf>
    <xf numFmtId="49" fontId="3" fillId="13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0" xfId="0" applyFill="1" applyBorder="1" applyAlignment="1"/>
    <xf numFmtId="0" fontId="5" fillId="3" borderId="2" xfId="0" applyFont="1" applyFill="1" applyBorder="1" applyAlignment="1">
      <alignment horizontal="center" vertical="center"/>
    </xf>
    <xf numFmtId="3" fontId="6" fillId="7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center" vertical="center"/>
    </xf>
    <xf numFmtId="9" fontId="6" fillId="7" borderId="2" xfId="0" applyNumberFormat="1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left" vertical="center"/>
    </xf>
    <xf numFmtId="0" fontId="8" fillId="11" borderId="2" xfId="0" applyFont="1" applyFill="1" applyBorder="1" applyAlignment="1">
      <alignment horizontal="left" vertical="center"/>
    </xf>
  </cellXfs>
  <cellStyles count="1">
    <cellStyle name="Normal" xfId="0" builtinId="0"/>
  </cellStyles>
  <dxfs count="2">
    <dxf>
      <font>
        <b/>
        <sz val="10"/>
        <color rgb="FF7F4A00"/>
        <name val="Arial"/>
        <charset val="1"/>
      </font>
      <fill>
        <patternFill>
          <bgColor rgb="FFFFF2CC"/>
        </patternFill>
      </fill>
    </dxf>
    <dxf>
      <font>
        <b/>
        <sz val="10"/>
        <color rgb="FFC00000"/>
        <name val="Arial"/>
        <charset val="1"/>
      </font>
      <fill>
        <patternFill>
          <bgColor rgb="FFFFE4E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F5F5F5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E2EFDA"/>
      <rgbColor rgb="FFFFE4E4"/>
      <rgbColor rgb="FF99CCFF"/>
      <rgbColor rgb="FFFF99CC"/>
      <rgbColor rgb="FFCC99FF"/>
      <rgbColor rgb="FFFFD7D7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F4E79"/>
      <rgbColor rgb="FF339966"/>
      <rgbColor rgb="FF003300"/>
      <rgbColor rgb="FF333300"/>
      <rgbColor rgb="FF7F4A00"/>
      <rgbColor rgb="FF993366"/>
      <rgbColor rgb="FF5B2C8D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  <wetp:taskpane dockstate="right" visibility="0" width="350" row="6">
    <wetp:webextensionref xmlns:r="http://schemas.openxmlformats.org/officeDocument/2006/relationships" r:id="rId2"/>
  </wetp:taskpane>
  <wetp:taskpane dockstate="right" visibility="0" width="350" row="7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D434F964-739D-4115-AB26-A04C9FD7461B}">
  <we:reference id="wa200005502" version="1.0.0.11" store="en-US" storeType="OMEX"/>
  <we:alternateReferences>
    <we:reference id="WA200005502" version="1.0.0.11" store="" storeType="OMEX"/>
  </we:alternateReferences>
  <we:properties>
    <we:property name="docId" value="&quot;CPxCXYusugLMzyx-kB-nK&quot;"/>
  </we:properties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487DCEE0-BDB6-4FBD-9B59-63A4DF77F3AD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f3f07aee-0d55-4685-80ff-411b175ca32f&quot;"/>
  </we:properties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1754B108-CEDA-4687-A4F0-8D071C9B6F86}">
  <we:reference id="wa200005669" version="2.0.0.0" store="en-US" storeType="OMEX"/>
  <we:alternateReferences>
    <we:reference id="WA200005669" version="2.0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showGridLines="0" tabSelected="1" topLeftCell="B1" zoomScaleNormal="100" workbookViewId="0">
      <pane ySplit="2" topLeftCell="A3" activePane="bottomLeft" state="frozen"/>
      <selection pane="bottomLeft" activeCell="G2" sqref="G1:G1048576"/>
    </sheetView>
  </sheetViews>
  <sheetFormatPr baseColWidth="10" defaultColWidth="8.7109375" defaultRowHeight="15" x14ac:dyDescent="0.25"/>
  <cols>
    <col min="1" max="1" width="41.42578125" style="1" customWidth="1"/>
    <col min="2" max="2" width="13" style="1" customWidth="1"/>
    <col min="3" max="3" width="21.42578125" style="1" customWidth="1"/>
    <col min="4" max="4" width="18.5703125" style="1" customWidth="1"/>
    <col min="5" max="6" width="20" style="1" customWidth="1"/>
    <col min="7" max="7" width="20.140625" style="1" customWidth="1"/>
    <col min="8" max="8" width="19.28515625" style="1" customWidth="1"/>
    <col min="9" max="9" width="19.140625" style="1" customWidth="1"/>
    <col min="10" max="10" width="10" style="1" customWidth="1"/>
    <col min="11" max="11" width="23.7109375" style="1" customWidth="1"/>
    <col min="12" max="12" width="19.5703125" style="1" customWidth="1"/>
    <col min="13" max="13" width="40" style="1" customWidth="1"/>
  </cols>
  <sheetData>
    <row r="1" spans="1:13" ht="27.75" customHeight="1" x14ac:dyDescent="0.2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1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15" customHeight="1" x14ac:dyDescent="0.25">
      <c r="A3" s="3" t="s">
        <v>14</v>
      </c>
      <c r="B3" s="4">
        <v>100</v>
      </c>
      <c r="C3" s="3" t="s">
        <v>27</v>
      </c>
      <c r="D3" s="3" t="s">
        <v>16</v>
      </c>
      <c r="E3" s="3" t="s">
        <v>17</v>
      </c>
      <c r="F3" s="3" t="s">
        <v>18</v>
      </c>
      <c r="G3" s="3" t="s">
        <v>19</v>
      </c>
      <c r="H3" s="5">
        <v>46032</v>
      </c>
      <c r="I3" s="5">
        <v>46157</v>
      </c>
      <c r="J3" s="6">
        <v>0.35</v>
      </c>
      <c r="K3" s="7">
        <f t="shared" ref="K3:K50" si="0">IF(B3="",0,B3*J3)</f>
        <v>35</v>
      </c>
      <c r="L3" s="8" t="str">
        <f t="shared" ref="L3:L50" ca="1" si="1">IF(OR(C3="Ganado",C3="Perdido"),"—",IF(H3="","—",TODAY()-H3))</f>
        <v>—</v>
      </c>
      <c r="M3" s="9" t="s">
        <v>20</v>
      </c>
    </row>
    <row r="4" spans="1:13" ht="15" customHeight="1" x14ac:dyDescent="0.25">
      <c r="A4" s="10" t="s">
        <v>21</v>
      </c>
      <c r="B4" s="11">
        <v>80</v>
      </c>
      <c r="C4" s="10" t="s">
        <v>27</v>
      </c>
      <c r="D4" s="10" t="s">
        <v>22</v>
      </c>
      <c r="E4" s="10" t="s">
        <v>23</v>
      </c>
      <c r="F4" s="10"/>
      <c r="G4" s="10" t="s">
        <v>24</v>
      </c>
      <c r="H4" s="12">
        <v>46037</v>
      </c>
      <c r="I4" s="12">
        <v>46142</v>
      </c>
      <c r="J4" s="13">
        <v>0.3</v>
      </c>
      <c r="K4" s="14">
        <f t="shared" si="0"/>
        <v>24</v>
      </c>
      <c r="L4" s="15" t="str">
        <f t="shared" ca="1" si="1"/>
        <v>—</v>
      </c>
      <c r="M4" s="16" t="s">
        <v>25</v>
      </c>
    </row>
    <row r="5" spans="1:13" ht="15" customHeight="1" x14ac:dyDescent="0.25">
      <c r="A5" s="17" t="s">
        <v>26</v>
      </c>
      <c r="B5" s="18">
        <v>55</v>
      </c>
      <c r="C5" s="17" t="s">
        <v>27</v>
      </c>
      <c r="D5" s="17" t="s">
        <v>28</v>
      </c>
      <c r="E5" s="17" t="s">
        <v>207</v>
      </c>
      <c r="F5" s="17" t="s">
        <v>30</v>
      </c>
      <c r="G5" s="17" t="s">
        <v>19</v>
      </c>
      <c r="H5" s="19">
        <v>45962</v>
      </c>
      <c r="I5" s="19">
        <v>46054</v>
      </c>
      <c r="J5" s="20">
        <v>1</v>
      </c>
      <c r="K5" s="21">
        <f t="shared" si="0"/>
        <v>55</v>
      </c>
      <c r="L5" s="18" t="str">
        <f t="shared" ca="1" si="1"/>
        <v>—</v>
      </c>
      <c r="M5" s="22" t="s">
        <v>31</v>
      </c>
    </row>
    <row r="6" spans="1:13" ht="15" customHeight="1" x14ac:dyDescent="0.25">
      <c r="A6" s="23" t="s">
        <v>32</v>
      </c>
      <c r="B6" s="24">
        <v>105</v>
      </c>
      <c r="C6" s="23" t="s">
        <v>33</v>
      </c>
      <c r="D6" s="23" t="s">
        <v>16</v>
      </c>
      <c r="E6" s="23"/>
      <c r="F6" s="23" t="s">
        <v>34</v>
      </c>
      <c r="G6" s="23"/>
      <c r="H6" s="23"/>
      <c r="I6" s="23"/>
      <c r="J6" s="25">
        <v>0.2</v>
      </c>
      <c r="K6" s="26">
        <f t="shared" si="0"/>
        <v>21</v>
      </c>
      <c r="L6" s="24" t="str">
        <f t="shared" ca="1" si="1"/>
        <v>—</v>
      </c>
      <c r="M6" s="27"/>
    </row>
    <row r="7" spans="1:13" ht="15" customHeight="1" x14ac:dyDescent="0.25">
      <c r="A7" s="17" t="s">
        <v>35</v>
      </c>
      <c r="B7" s="18">
        <v>150</v>
      </c>
      <c r="C7" s="17" t="s">
        <v>27</v>
      </c>
      <c r="D7" s="17" t="s">
        <v>16</v>
      </c>
      <c r="E7" s="17"/>
      <c r="F7" s="17" t="s">
        <v>18</v>
      </c>
      <c r="G7" s="17" t="s">
        <v>19</v>
      </c>
      <c r="H7" s="19">
        <v>45931</v>
      </c>
      <c r="I7" s="19">
        <v>46037</v>
      </c>
      <c r="J7" s="20">
        <v>1</v>
      </c>
      <c r="K7" s="21">
        <f t="shared" si="0"/>
        <v>150</v>
      </c>
      <c r="L7" s="18" t="str">
        <f t="shared" ca="1" si="1"/>
        <v>—</v>
      </c>
      <c r="M7" s="22" t="s">
        <v>36</v>
      </c>
    </row>
    <row r="8" spans="1:13" ht="15" customHeight="1" x14ac:dyDescent="0.25">
      <c r="A8" s="10" t="s">
        <v>37</v>
      </c>
      <c r="B8" s="11">
        <v>45</v>
      </c>
      <c r="C8" s="10" t="s">
        <v>15</v>
      </c>
      <c r="D8" s="10" t="s">
        <v>22</v>
      </c>
      <c r="E8" s="10"/>
      <c r="F8" s="10" t="s">
        <v>38</v>
      </c>
      <c r="G8" s="10" t="s">
        <v>39</v>
      </c>
      <c r="H8" s="12">
        <v>46054</v>
      </c>
      <c r="I8" s="12">
        <v>46174</v>
      </c>
      <c r="J8" s="13">
        <v>0.4</v>
      </c>
      <c r="K8" s="14">
        <f t="shared" si="0"/>
        <v>18</v>
      </c>
      <c r="L8" s="15">
        <f t="shared" ca="1" si="1"/>
        <v>75</v>
      </c>
      <c r="M8" s="16"/>
    </row>
    <row r="9" spans="1:13" ht="15" customHeight="1" x14ac:dyDescent="0.25">
      <c r="A9" s="3" t="s">
        <v>40</v>
      </c>
      <c r="B9" s="4">
        <v>35</v>
      </c>
      <c r="C9" s="3" t="s">
        <v>15</v>
      </c>
      <c r="D9" s="3" t="s">
        <v>22</v>
      </c>
      <c r="E9" s="3" t="s">
        <v>41</v>
      </c>
      <c r="F9" s="3" t="s">
        <v>42</v>
      </c>
      <c r="G9" s="3"/>
      <c r="H9" s="5">
        <v>46042</v>
      </c>
      <c r="I9" s="5">
        <v>46172</v>
      </c>
      <c r="J9" s="6">
        <v>0.25</v>
      </c>
      <c r="K9" s="7">
        <f t="shared" si="0"/>
        <v>8.75</v>
      </c>
      <c r="L9" s="8">
        <f t="shared" ca="1" si="1"/>
        <v>87</v>
      </c>
      <c r="M9" s="9" t="s">
        <v>43</v>
      </c>
    </row>
    <row r="10" spans="1:13" ht="15" customHeight="1" x14ac:dyDescent="0.25">
      <c r="A10" s="17" t="s">
        <v>44</v>
      </c>
      <c r="B10" s="18">
        <v>105</v>
      </c>
      <c r="C10" s="17" t="s">
        <v>27</v>
      </c>
      <c r="D10" s="17" t="s">
        <v>22</v>
      </c>
      <c r="E10" s="17" t="s">
        <v>45</v>
      </c>
      <c r="F10" s="17" t="s">
        <v>46</v>
      </c>
      <c r="G10" s="17" t="s">
        <v>47</v>
      </c>
      <c r="H10" s="19">
        <v>45901</v>
      </c>
      <c r="I10" s="19">
        <v>46082</v>
      </c>
      <c r="J10" s="20">
        <v>1</v>
      </c>
      <c r="K10" s="21">
        <f t="shared" si="0"/>
        <v>105</v>
      </c>
      <c r="L10" s="18" t="str">
        <f t="shared" ca="1" si="1"/>
        <v>—</v>
      </c>
      <c r="M10" s="22" t="s">
        <v>48</v>
      </c>
    </row>
    <row r="11" spans="1:13" ht="15" customHeight="1" x14ac:dyDescent="0.25">
      <c r="A11" s="3" t="s">
        <v>49</v>
      </c>
      <c r="B11" s="4">
        <v>20</v>
      </c>
      <c r="C11" s="3" t="s">
        <v>15</v>
      </c>
      <c r="D11" s="3" t="s">
        <v>22</v>
      </c>
      <c r="E11" s="3" t="s">
        <v>45</v>
      </c>
      <c r="F11" s="3" t="s">
        <v>30</v>
      </c>
      <c r="G11" s="3"/>
      <c r="H11" s="5">
        <v>46063</v>
      </c>
      <c r="I11" s="5">
        <v>46266</v>
      </c>
      <c r="J11" s="6">
        <v>0.2</v>
      </c>
      <c r="K11" s="7">
        <f t="shared" si="0"/>
        <v>4</v>
      </c>
      <c r="L11" s="8">
        <f t="shared" ca="1" si="1"/>
        <v>66</v>
      </c>
      <c r="M11" s="9" t="s">
        <v>50</v>
      </c>
    </row>
    <row r="12" spans="1:13" ht="15" customHeight="1" x14ac:dyDescent="0.25">
      <c r="A12" s="10" t="s">
        <v>51</v>
      </c>
      <c r="B12" s="11">
        <v>50</v>
      </c>
      <c r="C12" s="10" t="s">
        <v>15</v>
      </c>
      <c r="D12" s="10" t="s">
        <v>28</v>
      </c>
      <c r="E12" s="10"/>
      <c r="F12" s="10" t="s">
        <v>52</v>
      </c>
      <c r="G12" s="10"/>
      <c r="H12" s="12">
        <v>46047</v>
      </c>
      <c r="I12" s="12">
        <v>46143</v>
      </c>
      <c r="J12" s="13">
        <v>0.35</v>
      </c>
      <c r="K12" s="14">
        <f t="shared" si="0"/>
        <v>17.5</v>
      </c>
      <c r="L12" s="15">
        <f t="shared" ca="1" si="1"/>
        <v>82</v>
      </c>
      <c r="M12" s="16"/>
    </row>
    <row r="13" spans="1:13" ht="15" customHeight="1" x14ac:dyDescent="0.25">
      <c r="A13" s="3" t="s">
        <v>53</v>
      </c>
      <c r="B13" s="4">
        <v>20</v>
      </c>
      <c r="C13" s="3" t="s">
        <v>15</v>
      </c>
      <c r="D13" s="3" t="s">
        <v>54</v>
      </c>
      <c r="E13" s="3"/>
      <c r="F13" s="3" t="s">
        <v>55</v>
      </c>
      <c r="G13" s="3"/>
      <c r="H13" s="5">
        <v>46058</v>
      </c>
      <c r="I13" s="5">
        <v>46188</v>
      </c>
      <c r="J13" s="6">
        <v>0.3</v>
      </c>
      <c r="K13" s="7">
        <f t="shared" si="0"/>
        <v>6</v>
      </c>
      <c r="L13" s="8">
        <f t="shared" ca="1" si="1"/>
        <v>71</v>
      </c>
      <c r="M13" s="9" t="s">
        <v>56</v>
      </c>
    </row>
    <row r="14" spans="1:13" ht="15" customHeight="1" x14ac:dyDescent="0.25">
      <c r="A14" s="17" t="s">
        <v>57</v>
      </c>
      <c r="B14" s="18"/>
      <c r="C14" s="17" t="s">
        <v>27</v>
      </c>
      <c r="D14" s="17" t="s">
        <v>22</v>
      </c>
      <c r="E14" s="17" t="s">
        <v>18</v>
      </c>
      <c r="F14" s="17" t="s">
        <v>42</v>
      </c>
      <c r="G14" s="17" t="s">
        <v>39</v>
      </c>
      <c r="H14" s="19">
        <v>45992</v>
      </c>
      <c r="I14" s="19">
        <v>46068</v>
      </c>
      <c r="J14" s="20">
        <v>1</v>
      </c>
      <c r="K14" s="21">
        <f t="shared" si="0"/>
        <v>0</v>
      </c>
      <c r="L14" s="18" t="str">
        <f t="shared" ca="1" si="1"/>
        <v>—</v>
      </c>
      <c r="M14" s="22" t="s">
        <v>58</v>
      </c>
    </row>
    <row r="15" spans="1:13" ht="15" customHeight="1" x14ac:dyDescent="0.25">
      <c r="A15" s="3" t="s">
        <v>59</v>
      </c>
      <c r="B15" s="4">
        <v>105</v>
      </c>
      <c r="C15" s="3" t="s">
        <v>15</v>
      </c>
      <c r="D15" s="3" t="s">
        <v>22</v>
      </c>
      <c r="E15" s="3"/>
      <c r="F15" s="3" t="s">
        <v>42</v>
      </c>
      <c r="G15" s="3" t="s">
        <v>60</v>
      </c>
      <c r="H15" s="5">
        <v>46037</v>
      </c>
      <c r="I15" s="5">
        <v>46157</v>
      </c>
      <c r="J15" s="6">
        <v>0.25</v>
      </c>
      <c r="K15" s="7">
        <f t="shared" si="0"/>
        <v>26.25</v>
      </c>
      <c r="L15" s="8">
        <f t="shared" ca="1" si="1"/>
        <v>92</v>
      </c>
      <c r="M15" s="9" t="s">
        <v>61</v>
      </c>
    </row>
    <row r="16" spans="1:13" ht="15" customHeight="1" x14ac:dyDescent="0.25">
      <c r="A16" s="10" t="s">
        <v>62</v>
      </c>
      <c r="B16" s="11">
        <v>20</v>
      </c>
      <c r="C16" s="10" t="s">
        <v>15</v>
      </c>
      <c r="D16" s="10" t="s">
        <v>22</v>
      </c>
      <c r="E16" s="10" t="s">
        <v>17</v>
      </c>
      <c r="F16" s="10" t="s">
        <v>63</v>
      </c>
      <c r="G16" s="10" t="s">
        <v>39</v>
      </c>
      <c r="H16" s="12">
        <v>46054</v>
      </c>
      <c r="I16" s="12">
        <v>46174</v>
      </c>
      <c r="J16" s="13">
        <v>0.3</v>
      </c>
      <c r="K16" s="14">
        <f t="shared" si="0"/>
        <v>6</v>
      </c>
      <c r="L16" s="15">
        <f t="shared" ca="1" si="1"/>
        <v>75</v>
      </c>
      <c r="M16" s="16" t="s">
        <v>64</v>
      </c>
    </row>
    <row r="17" spans="1:13" ht="15" customHeight="1" x14ac:dyDescent="0.25">
      <c r="A17" s="3" t="s">
        <v>65</v>
      </c>
      <c r="B17" s="4">
        <v>40</v>
      </c>
      <c r="C17" s="3" t="s">
        <v>15</v>
      </c>
      <c r="D17" s="3" t="s">
        <v>22</v>
      </c>
      <c r="E17" s="3"/>
      <c r="F17" s="3" t="s">
        <v>66</v>
      </c>
      <c r="G17" s="3" t="s">
        <v>19</v>
      </c>
      <c r="H17" s="5">
        <v>46042</v>
      </c>
      <c r="I17" s="5">
        <v>46142</v>
      </c>
      <c r="J17" s="6">
        <v>0.45</v>
      </c>
      <c r="K17" s="7">
        <f t="shared" si="0"/>
        <v>18</v>
      </c>
      <c r="L17" s="8">
        <f t="shared" ca="1" si="1"/>
        <v>87</v>
      </c>
      <c r="M17" s="9" t="s">
        <v>67</v>
      </c>
    </row>
    <row r="18" spans="1:13" ht="15" customHeight="1" x14ac:dyDescent="0.25">
      <c r="A18" s="10" t="s">
        <v>68</v>
      </c>
      <c r="B18" s="11">
        <v>40</v>
      </c>
      <c r="C18" s="10" t="s">
        <v>15</v>
      </c>
      <c r="D18" s="10" t="s">
        <v>16</v>
      </c>
      <c r="E18" s="10" t="s">
        <v>69</v>
      </c>
      <c r="F18" s="10"/>
      <c r="G18" s="10"/>
      <c r="H18" s="12">
        <v>46068</v>
      </c>
      <c r="I18" s="12">
        <v>46174</v>
      </c>
      <c r="J18" s="13">
        <v>0.3</v>
      </c>
      <c r="K18" s="14">
        <f t="shared" si="0"/>
        <v>12</v>
      </c>
      <c r="L18" s="15">
        <f t="shared" ca="1" si="1"/>
        <v>61</v>
      </c>
      <c r="M18" s="16"/>
    </row>
    <row r="19" spans="1:13" ht="15" customHeight="1" x14ac:dyDescent="0.25">
      <c r="A19" s="3" t="s">
        <v>70</v>
      </c>
      <c r="B19" s="4">
        <v>40</v>
      </c>
      <c r="C19" s="3" t="s">
        <v>15</v>
      </c>
      <c r="D19" s="3" t="s">
        <v>22</v>
      </c>
      <c r="E19" s="3"/>
      <c r="F19" s="3" t="s">
        <v>71</v>
      </c>
      <c r="G19" s="3"/>
      <c r="H19" s="5">
        <v>46032</v>
      </c>
      <c r="I19" s="5">
        <v>46143</v>
      </c>
      <c r="J19" s="6">
        <v>0.35</v>
      </c>
      <c r="K19" s="7">
        <f t="shared" si="0"/>
        <v>14</v>
      </c>
      <c r="L19" s="8">
        <f t="shared" ca="1" si="1"/>
        <v>97</v>
      </c>
      <c r="M19" s="9"/>
    </row>
    <row r="20" spans="1:13" ht="15" customHeight="1" x14ac:dyDescent="0.25">
      <c r="A20" s="10" t="s">
        <v>72</v>
      </c>
      <c r="B20" s="11">
        <v>155</v>
      </c>
      <c r="C20" s="10" t="s">
        <v>15</v>
      </c>
      <c r="D20" s="10" t="s">
        <v>22</v>
      </c>
      <c r="E20" s="10"/>
      <c r="F20" s="10" t="s">
        <v>73</v>
      </c>
      <c r="G20" s="10"/>
      <c r="H20" s="12">
        <v>46027</v>
      </c>
      <c r="I20" s="12">
        <v>46188</v>
      </c>
      <c r="J20" s="13">
        <v>0.3</v>
      </c>
      <c r="K20" s="14">
        <f t="shared" si="0"/>
        <v>46.5</v>
      </c>
      <c r="L20" s="15">
        <f t="shared" ca="1" si="1"/>
        <v>102</v>
      </c>
      <c r="M20" s="16" t="s">
        <v>74</v>
      </c>
    </row>
    <row r="21" spans="1:13" ht="15" customHeight="1" x14ac:dyDescent="0.25">
      <c r="A21" s="3" t="s">
        <v>75</v>
      </c>
      <c r="B21" s="4">
        <v>20</v>
      </c>
      <c r="C21" s="3" t="s">
        <v>15</v>
      </c>
      <c r="D21" s="3" t="s">
        <v>22</v>
      </c>
      <c r="E21" s="3"/>
      <c r="F21" s="3" t="s">
        <v>76</v>
      </c>
      <c r="G21" s="3"/>
      <c r="H21" s="5">
        <v>46054</v>
      </c>
      <c r="I21" s="5">
        <v>46143</v>
      </c>
      <c r="J21" s="6">
        <v>0.35</v>
      </c>
      <c r="K21" s="7">
        <f t="shared" si="0"/>
        <v>7</v>
      </c>
      <c r="L21" s="8">
        <f t="shared" ca="1" si="1"/>
        <v>75</v>
      </c>
      <c r="M21" s="9" t="s">
        <v>77</v>
      </c>
    </row>
    <row r="22" spans="1:13" ht="15" customHeight="1" x14ac:dyDescent="0.25">
      <c r="A22" s="10" t="s">
        <v>78</v>
      </c>
      <c r="B22" s="11">
        <v>15</v>
      </c>
      <c r="C22" s="10" t="s">
        <v>15</v>
      </c>
      <c r="D22" s="10" t="s">
        <v>22</v>
      </c>
      <c r="E22" s="10"/>
      <c r="F22" s="10" t="s">
        <v>18</v>
      </c>
      <c r="G22" s="10"/>
      <c r="H22" s="12">
        <v>46047</v>
      </c>
      <c r="I22" s="12">
        <v>46127</v>
      </c>
      <c r="J22" s="13">
        <v>0.4</v>
      </c>
      <c r="K22" s="14">
        <f t="shared" si="0"/>
        <v>6</v>
      </c>
      <c r="L22" s="15">
        <f t="shared" ca="1" si="1"/>
        <v>82</v>
      </c>
      <c r="M22" s="16"/>
    </row>
    <row r="23" spans="1:13" ht="15" customHeight="1" x14ac:dyDescent="0.25">
      <c r="A23" s="3" t="s">
        <v>79</v>
      </c>
      <c r="B23" s="4">
        <v>62</v>
      </c>
      <c r="C23" s="3" t="s">
        <v>15</v>
      </c>
      <c r="D23" s="3" t="s">
        <v>22</v>
      </c>
      <c r="E23" s="3"/>
      <c r="F23" s="3" t="s">
        <v>80</v>
      </c>
      <c r="G23" s="3"/>
      <c r="H23" s="5">
        <v>46063</v>
      </c>
      <c r="I23" s="5">
        <v>46204</v>
      </c>
      <c r="J23" s="6">
        <v>0.25</v>
      </c>
      <c r="K23" s="7">
        <f t="shared" si="0"/>
        <v>15.5</v>
      </c>
      <c r="L23" s="8">
        <f t="shared" ca="1" si="1"/>
        <v>66</v>
      </c>
      <c r="M23" s="9" t="s">
        <v>81</v>
      </c>
    </row>
    <row r="24" spans="1:13" ht="15" customHeight="1" x14ac:dyDescent="0.25">
      <c r="A24" s="10" t="s">
        <v>82</v>
      </c>
      <c r="B24" s="11">
        <v>30</v>
      </c>
      <c r="C24" s="10" t="s">
        <v>15</v>
      </c>
      <c r="D24" s="10" t="s">
        <v>16</v>
      </c>
      <c r="E24" s="10"/>
      <c r="F24" s="10" t="s">
        <v>83</v>
      </c>
      <c r="G24" s="10"/>
      <c r="H24" s="12">
        <v>46037</v>
      </c>
      <c r="I24" s="12">
        <v>46157</v>
      </c>
      <c r="J24" s="13">
        <v>0.35</v>
      </c>
      <c r="K24" s="14">
        <f t="shared" si="0"/>
        <v>10.5</v>
      </c>
      <c r="L24" s="15">
        <f t="shared" ca="1" si="1"/>
        <v>92</v>
      </c>
      <c r="M24" s="16"/>
    </row>
    <row r="25" spans="1:13" ht="15" customHeight="1" x14ac:dyDescent="0.25">
      <c r="A25" s="3" t="s">
        <v>84</v>
      </c>
      <c r="B25" s="4">
        <v>15</v>
      </c>
      <c r="C25" s="3" t="s">
        <v>15</v>
      </c>
      <c r="D25" s="3" t="s">
        <v>22</v>
      </c>
      <c r="E25" s="3" t="s">
        <v>85</v>
      </c>
      <c r="F25" s="3"/>
      <c r="G25" s="3"/>
      <c r="H25" s="5">
        <v>46054</v>
      </c>
      <c r="I25" s="5">
        <v>46143</v>
      </c>
      <c r="J25" s="6">
        <v>0.3</v>
      </c>
      <c r="K25" s="7">
        <f t="shared" si="0"/>
        <v>4.5</v>
      </c>
      <c r="L25" s="8">
        <f t="shared" ca="1" si="1"/>
        <v>75</v>
      </c>
      <c r="M25" s="9"/>
    </row>
    <row r="26" spans="1:13" ht="15" customHeight="1" x14ac:dyDescent="0.25">
      <c r="A26" s="10" t="s">
        <v>86</v>
      </c>
      <c r="B26" s="11">
        <v>20</v>
      </c>
      <c r="C26" s="10" t="s">
        <v>15</v>
      </c>
      <c r="D26" s="10" t="s">
        <v>28</v>
      </c>
      <c r="E26" s="10" t="s">
        <v>23</v>
      </c>
      <c r="F26" s="10" t="s">
        <v>87</v>
      </c>
      <c r="G26" s="10"/>
      <c r="H26" s="12">
        <v>46042</v>
      </c>
      <c r="I26" s="12">
        <v>46174</v>
      </c>
      <c r="J26" s="13">
        <v>0.25</v>
      </c>
      <c r="K26" s="14">
        <f t="shared" si="0"/>
        <v>5</v>
      </c>
      <c r="L26" s="15">
        <f t="shared" ca="1" si="1"/>
        <v>87</v>
      </c>
      <c r="M26" s="16" t="s">
        <v>88</v>
      </c>
    </row>
    <row r="27" spans="1:13" ht="15" customHeight="1" x14ac:dyDescent="0.25">
      <c r="A27" s="3" t="s">
        <v>89</v>
      </c>
      <c r="B27" s="4">
        <v>65</v>
      </c>
      <c r="C27" s="3" t="s">
        <v>15</v>
      </c>
      <c r="D27" s="3" t="s">
        <v>16</v>
      </c>
      <c r="E27" s="3" t="s">
        <v>29</v>
      </c>
      <c r="F27" s="3" t="s">
        <v>90</v>
      </c>
      <c r="G27" s="3"/>
      <c r="H27" s="5">
        <v>46032</v>
      </c>
      <c r="I27" s="5">
        <v>46204</v>
      </c>
      <c r="J27" s="6">
        <v>0.3</v>
      </c>
      <c r="K27" s="7">
        <f t="shared" si="0"/>
        <v>19.5</v>
      </c>
      <c r="L27" s="8">
        <f t="shared" ca="1" si="1"/>
        <v>97</v>
      </c>
      <c r="M27" s="9"/>
    </row>
    <row r="28" spans="1:13" ht="15" customHeight="1" x14ac:dyDescent="0.25">
      <c r="A28" s="17" t="s">
        <v>91</v>
      </c>
      <c r="B28" s="18">
        <v>55</v>
      </c>
      <c r="C28" s="17" t="s">
        <v>27</v>
      </c>
      <c r="D28" s="17" t="s">
        <v>22</v>
      </c>
      <c r="E28" s="17" t="s">
        <v>92</v>
      </c>
      <c r="F28" s="17" t="s">
        <v>93</v>
      </c>
      <c r="G28" s="17" t="s">
        <v>19</v>
      </c>
      <c r="H28" s="19">
        <v>45962</v>
      </c>
      <c r="I28" s="19">
        <v>46054</v>
      </c>
      <c r="J28" s="20">
        <v>1</v>
      </c>
      <c r="K28" s="21">
        <f t="shared" si="0"/>
        <v>55</v>
      </c>
      <c r="L28" s="18" t="str">
        <f t="shared" ca="1" si="1"/>
        <v>—</v>
      </c>
      <c r="M28" s="22" t="s">
        <v>94</v>
      </c>
    </row>
    <row r="29" spans="1:13" ht="15" customHeight="1" x14ac:dyDescent="0.25">
      <c r="A29" s="3" t="s">
        <v>95</v>
      </c>
      <c r="B29" s="4">
        <v>20</v>
      </c>
      <c r="C29" s="3" t="s">
        <v>15</v>
      </c>
      <c r="D29" s="3" t="s">
        <v>28</v>
      </c>
      <c r="E29" s="3" t="s">
        <v>96</v>
      </c>
      <c r="F29" s="3" t="s">
        <v>97</v>
      </c>
      <c r="G29" s="3" t="s">
        <v>98</v>
      </c>
      <c r="H29" s="5">
        <v>46058</v>
      </c>
      <c r="I29" s="5">
        <v>46174</v>
      </c>
      <c r="J29" s="6">
        <v>0.25</v>
      </c>
      <c r="K29" s="7">
        <f t="shared" si="0"/>
        <v>5</v>
      </c>
      <c r="L29" s="8">
        <f t="shared" ca="1" si="1"/>
        <v>71</v>
      </c>
      <c r="M29" s="9" t="s">
        <v>99</v>
      </c>
    </row>
    <row r="30" spans="1:13" ht="15" customHeight="1" x14ac:dyDescent="0.25">
      <c r="A30" s="10" t="s">
        <v>100</v>
      </c>
      <c r="B30" s="11">
        <v>140</v>
      </c>
      <c r="C30" s="10" t="s">
        <v>15</v>
      </c>
      <c r="D30" s="10" t="s">
        <v>101</v>
      </c>
      <c r="E30" s="10" t="s">
        <v>102</v>
      </c>
      <c r="F30" s="10" t="s">
        <v>103</v>
      </c>
      <c r="G30" s="10"/>
      <c r="H30" s="12">
        <v>46037</v>
      </c>
      <c r="I30" s="12">
        <v>46218</v>
      </c>
      <c r="J30" s="13">
        <v>0.3</v>
      </c>
      <c r="K30" s="14">
        <f t="shared" si="0"/>
        <v>42</v>
      </c>
      <c r="L30" s="15">
        <f t="shared" ca="1" si="1"/>
        <v>92</v>
      </c>
      <c r="M30" s="16" t="s">
        <v>104</v>
      </c>
    </row>
    <row r="31" spans="1:13" ht="15" customHeight="1" x14ac:dyDescent="0.25">
      <c r="A31" s="3" t="s">
        <v>105</v>
      </c>
      <c r="B31" s="4">
        <v>340</v>
      </c>
      <c r="C31" s="3" t="s">
        <v>15</v>
      </c>
      <c r="D31" s="3" t="s">
        <v>16</v>
      </c>
      <c r="E31" s="3" t="s">
        <v>106</v>
      </c>
      <c r="F31" s="3" t="s">
        <v>107</v>
      </c>
      <c r="G31" s="3"/>
      <c r="H31" s="5">
        <v>46037</v>
      </c>
      <c r="I31" s="5">
        <v>46235</v>
      </c>
      <c r="J31" s="6">
        <v>0.25</v>
      </c>
      <c r="K31" s="7">
        <f t="shared" si="0"/>
        <v>85</v>
      </c>
      <c r="L31" s="8">
        <f t="shared" ca="1" si="1"/>
        <v>92</v>
      </c>
      <c r="M31" s="9" t="s">
        <v>108</v>
      </c>
    </row>
    <row r="32" spans="1:13" ht="15" customHeight="1" x14ac:dyDescent="0.25">
      <c r="A32" s="10" t="s">
        <v>109</v>
      </c>
      <c r="B32" s="11">
        <v>34</v>
      </c>
      <c r="C32" s="10" t="s">
        <v>15</v>
      </c>
      <c r="D32" s="10" t="s">
        <v>16</v>
      </c>
      <c r="E32" s="10"/>
      <c r="F32" s="10" t="s">
        <v>110</v>
      </c>
      <c r="G32" s="10" t="s">
        <v>111</v>
      </c>
      <c r="H32" s="12">
        <v>46054</v>
      </c>
      <c r="I32" s="12">
        <v>46174</v>
      </c>
      <c r="J32" s="13">
        <v>0.3</v>
      </c>
      <c r="K32" s="14">
        <f t="shared" si="0"/>
        <v>10.199999999999999</v>
      </c>
      <c r="L32" s="15">
        <f t="shared" ca="1" si="1"/>
        <v>75</v>
      </c>
      <c r="M32" s="16" t="s">
        <v>112</v>
      </c>
    </row>
    <row r="33" spans="1:13" ht="15" customHeight="1" x14ac:dyDescent="0.25">
      <c r="A33" s="3" t="s">
        <v>113</v>
      </c>
      <c r="B33" s="4">
        <v>20</v>
      </c>
      <c r="C33" s="3" t="s">
        <v>15</v>
      </c>
      <c r="D33" s="3" t="s">
        <v>28</v>
      </c>
      <c r="E33" s="3"/>
      <c r="F33" s="3"/>
      <c r="G33" s="3"/>
      <c r="H33" s="5">
        <v>46042</v>
      </c>
      <c r="I33" s="5">
        <v>46143</v>
      </c>
      <c r="J33" s="6">
        <v>0.2</v>
      </c>
      <c r="K33" s="7">
        <f t="shared" si="0"/>
        <v>4</v>
      </c>
      <c r="L33" s="8">
        <f t="shared" ca="1" si="1"/>
        <v>87</v>
      </c>
      <c r="M33" s="9" t="s">
        <v>114</v>
      </c>
    </row>
    <row r="34" spans="1:13" ht="15" customHeight="1" x14ac:dyDescent="0.25">
      <c r="A34" s="10" t="s">
        <v>115</v>
      </c>
      <c r="B34" s="11">
        <v>86</v>
      </c>
      <c r="C34" s="10" t="s">
        <v>15</v>
      </c>
      <c r="D34" s="10" t="s">
        <v>16</v>
      </c>
      <c r="E34" s="10"/>
      <c r="F34" s="10" t="s">
        <v>116</v>
      </c>
      <c r="G34" s="10"/>
      <c r="H34" s="12">
        <v>46054</v>
      </c>
      <c r="I34" s="12">
        <v>46204</v>
      </c>
      <c r="J34" s="13">
        <v>0.35</v>
      </c>
      <c r="K34" s="14">
        <f t="shared" si="0"/>
        <v>30.099999999999998</v>
      </c>
      <c r="L34" s="15">
        <f t="shared" ca="1" si="1"/>
        <v>75</v>
      </c>
      <c r="M34" s="16"/>
    </row>
    <row r="35" spans="1:13" ht="15" customHeight="1" x14ac:dyDescent="0.25">
      <c r="A35" s="3" t="s">
        <v>117</v>
      </c>
      <c r="B35" s="4">
        <v>21</v>
      </c>
      <c r="C35" s="3" t="s">
        <v>15</v>
      </c>
      <c r="D35" s="3" t="s">
        <v>28</v>
      </c>
      <c r="E35" s="3"/>
      <c r="F35" s="3" t="s">
        <v>118</v>
      </c>
      <c r="G35" s="3"/>
      <c r="H35" s="5">
        <v>46047</v>
      </c>
      <c r="I35" s="5">
        <v>46157</v>
      </c>
      <c r="J35" s="6">
        <v>0.3</v>
      </c>
      <c r="K35" s="7">
        <f t="shared" si="0"/>
        <v>6.3</v>
      </c>
      <c r="L35" s="8">
        <f t="shared" ca="1" si="1"/>
        <v>82</v>
      </c>
      <c r="M35" s="9"/>
    </row>
    <row r="36" spans="1:13" ht="15" customHeight="1" x14ac:dyDescent="0.25">
      <c r="A36" s="10" t="s">
        <v>119</v>
      </c>
      <c r="B36" s="11">
        <v>15</v>
      </c>
      <c r="C36" s="10" t="s">
        <v>15</v>
      </c>
      <c r="D36" s="10" t="s">
        <v>22</v>
      </c>
      <c r="E36" s="10" t="s">
        <v>120</v>
      </c>
      <c r="F36" s="10" t="s">
        <v>121</v>
      </c>
      <c r="G36" s="10"/>
      <c r="H36" s="12">
        <v>46063</v>
      </c>
      <c r="I36" s="12">
        <v>46143</v>
      </c>
      <c r="J36" s="13">
        <v>0.25</v>
      </c>
      <c r="K36" s="14">
        <f t="shared" si="0"/>
        <v>3.75</v>
      </c>
      <c r="L36" s="15">
        <f t="shared" ca="1" si="1"/>
        <v>66</v>
      </c>
      <c r="M36" s="16"/>
    </row>
    <row r="37" spans="1:13" ht="15" customHeight="1" x14ac:dyDescent="0.25">
      <c r="A37" s="3" t="s">
        <v>122</v>
      </c>
      <c r="B37" s="4">
        <v>32</v>
      </c>
      <c r="C37" s="3" t="s">
        <v>15</v>
      </c>
      <c r="D37" s="3" t="s">
        <v>28</v>
      </c>
      <c r="E37" s="3" t="s">
        <v>123</v>
      </c>
      <c r="F37" s="3"/>
      <c r="G37" s="3"/>
      <c r="H37" s="5">
        <v>46037</v>
      </c>
      <c r="I37" s="5">
        <v>46174</v>
      </c>
      <c r="J37" s="6">
        <v>0.3</v>
      </c>
      <c r="K37" s="7">
        <f t="shared" si="0"/>
        <v>9.6</v>
      </c>
      <c r="L37" s="8">
        <f t="shared" ca="1" si="1"/>
        <v>92</v>
      </c>
      <c r="M37" s="9"/>
    </row>
    <row r="38" spans="1:13" ht="15" customHeight="1" x14ac:dyDescent="0.25">
      <c r="A38" s="10" t="s">
        <v>124</v>
      </c>
      <c r="B38" s="11">
        <v>99</v>
      </c>
      <c r="C38" s="10" t="s">
        <v>15</v>
      </c>
      <c r="D38" s="10" t="s">
        <v>22</v>
      </c>
      <c r="E38" s="10"/>
      <c r="F38" s="10" t="s">
        <v>125</v>
      </c>
      <c r="G38" s="10"/>
      <c r="H38" s="12">
        <v>46054</v>
      </c>
      <c r="I38" s="12">
        <v>46204</v>
      </c>
      <c r="J38" s="13">
        <v>0.35</v>
      </c>
      <c r="K38" s="14">
        <f t="shared" si="0"/>
        <v>34.65</v>
      </c>
      <c r="L38" s="15">
        <f t="shared" ca="1" si="1"/>
        <v>75</v>
      </c>
      <c r="M38" s="16"/>
    </row>
    <row r="39" spans="1:13" ht="15" customHeight="1" x14ac:dyDescent="0.25">
      <c r="A39" s="3" t="s">
        <v>126</v>
      </c>
      <c r="B39" s="4">
        <v>44</v>
      </c>
      <c r="C39" s="3" t="s">
        <v>15</v>
      </c>
      <c r="D39" s="3" t="s">
        <v>28</v>
      </c>
      <c r="E39" s="3"/>
      <c r="F39" s="3" t="s">
        <v>127</v>
      </c>
      <c r="G39" s="3"/>
      <c r="H39" s="5">
        <v>46042</v>
      </c>
      <c r="I39" s="5">
        <v>46174</v>
      </c>
      <c r="J39" s="6">
        <v>0.3</v>
      </c>
      <c r="K39" s="7">
        <f t="shared" si="0"/>
        <v>13.2</v>
      </c>
      <c r="L39" s="8">
        <f t="shared" ca="1" si="1"/>
        <v>87</v>
      </c>
      <c r="M39" s="9"/>
    </row>
    <row r="40" spans="1:13" ht="15" customHeight="1" x14ac:dyDescent="0.25">
      <c r="A40" s="10" t="s">
        <v>128</v>
      </c>
      <c r="B40" s="11">
        <v>34</v>
      </c>
      <c r="C40" s="10" t="s">
        <v>15</v>
      </c>
      <c r="D40" s="10" t="s">
        <v>129</v>
      </c>
      <c r="E40" s="10"/>
      <c r="F40" s="10" t="s">
        <v>130</v>
      </c>
      <c r="G40" s="10"/>
      <c r="H40" s="12">
        <v>46058</v>
      </c>
      <c r="I40" s="12">
        <v>46188</v>
      </c>
      <c r="J40" s="13">
        <v>0.25</v>
      </c>
      <c r="K40" s="14">
        <f t="shared" si="0"/>
        <v>8.5</v>
      </c>
      <c r="L40" s="15">
        <f t="shared" ca="1" si="1"/>
        <v>71</v>
      </c>
      <c r="M40" s="16"/>
    </row>
    <row r="41" spans="1:13" ht="15" customHeight="1" x14ac:dyDescent="0.25">
      <c r="A41" s="3" t="s">
        <v>131</v>
      </c>
      <c r="B41" s="4">
        <v>18</v>
      </c>
      <c r="C41" s="3" t="s">
        <v>15</v>
      </c>
      <c r="D41" s="3" t="s">
        <v>28</v>
      </c>
      <c r="E41" s="3"/>
      <c r="F41" s="3" t="s">
        <v>132</v>
      </c>
      <c r="G41" s="3"/>
      <c r="H41" s="5">
        <v>46047</v>
      </c>
      <c r="I41" s="5">
        <v>46143</v>
      </c>
      <c r="J41" s="6">
        <v>0.35</v>
      </c>
      <c r="K41" s="7">
        <f t="shared" si="0"/>
        <v>6.3</v>
      </c>
      <c r="L41" s="8">
        <f t="shared" ca="1" si="1"/>
        <v>82</v>
      </c>
      <c r="M41" s="9"/>
    </row>
    <row r="42" spans="1:13" ht="15" customHeight="1" x14ac:dyDescent="0.25">
      <c r="A42" s="10" t="s">
        <v>133</v>
      </c>
      <c r="B42" s="11">
        <v>32</v>
      </c>
      <c r="C42" s="10" t="s">
        <v>15</v>
      </c>
      <c r="D42" s="10" t="s">
        <v>28</v>
      </c>
      <c r="E42" s="10"/>
      <c r="F42" s="10" t="s">
        <v>134</v>
      </c>
      <c r="G42" s="10"/>
      <c r="H42" s="12">
        <v>46054</v>
      </c>
      <c r="I42" s="12">
        <v>46157</v>
      </c>
      <c r="J42" s="13">
        <v>0.4</v>
      </c>
      <c r="K42" s="14">
        <f t="shared" si="0"/>
        <v>12.8</v>
      </c>
      <c r="L42" s="15">
        <f t="shared" ca="1" si="1"/>
        <v>75</v>
      </c>
      <c r="M42" s="16"/>
    </row>
    <row r="43" spans="1:13" ht="15" customHeight="1" x14ac:dyDescent="0.25">
      <c r="A43" s="3" t="s">
        <v>135</v>
      </c>
      <c r="B43" s="4">
        <v>22</v>
      </c>
      <c r="C43" s="3" t="s">
        <v>15</v>
      </c>
      <c r="D43" s="3" t="s">
        <v>28</v>
      </c>
      <c r="E43" s="3" t="s">
        <v>136</v>
      </c>
      <c r="F43" s="3"/>
      <c r="G43" s="3"/>
      <c r="H43" s="5">
        <v>46037</v>
      </c>
      <c r="I43" s="5">
        <v>46143</v>
      </c>
      <c r="J43" s="6">
        <v>0.3</v>
      </c>
      <c r="K43" s="7">
        <f t="shared" si="0"/>
        <v>6.6</v>
      </c>
      <c r="L43" s="8">
        <f t="shared" ca="1" si="1"/>
        <v>92</v>
      </c>
      <c r="M43" s="9"/>
    </row>
    <row r="44" spans="1:13" ht="15" customHeight="1" x14ac:dyDescent="0.25">
      <c r="A44" s="10" t="s">
        <v>137</v>
      </c>
      <c r="B44" s="11">
        <v>35</v>
      </c>
      <c r="C44" s="10" t="s">
        <v>15</v>
      </c>
      <c r="D44" s="10" t="s">
        <v>16</v>
      </c>
      <c r="E44" s="10"/>
      <c r="F44" s="10" t="s">
        <v>138</v>
      </c>
      <c r="G44" s="10"/>
      <c r="H44" s="12">
        <v>46063</v>
      </c>
      <c r="I44" s="12">
        <v>46174</v>
      </c>
      <c r="J44" s="13">
        <v>0.35</v>
      </c>
      <c r="K44" s="14">
        <f t="shared" si="0"/>
        <v>12.25</v>
      </c>
      <c r="L44" s="15">
        <f t="shared" ca="1" si="1"/>
        <v>66</v>
      </c>
      <c r="M44" s="16"/>
    </row>
    <row r="45" spans="1:13" ht="15" customHeight="1" x14ac:dyDescent="0.25">
      <c r="A45" s="3" t="s">
        <v>139</v>
      </c>
      <c r="B45" s="4">
        <v>23</v>
      </c>
      <c r="C45" s="3" t="s">
        <v>15</v>
      </c>
      <c r="D45" s="3" t="s">
        <v>16</v>
      </c>
      <c r="E45" s="3"/>
      <c r="F45" s="3" t="s">
        <v>69</v>
      </c>
      <c r="G45" s="3"/>
      <c r="H45" s="5">
        <v>46042</v>
      </c>
      <c r="I45" s="5">
        <v>46157</v>
      </c>
      <c r="J45" s="6">
        <v>0.3</v>
      </c>
      <c r="K45" s="7">
        <f t="shared" si="0"/>
        <v>6.8999999999999995</v>
      </c>
      <c r="L45" s="8">
        <f t="shared" ca="1" si="1"/>
        <v>87</v>
      </c>
      <c r="M45" s="9"/>
    </row>
    <row r="46" spans="1:13" ht="15" customHeight="1" x14ac:dyDescent="0.25">
      <c r="A46" s="10" t="s">
        <v>140</v>
      </c>
      <c r="B46" s="11">
        <v>18</v>
      </c>
      <c r="C46" s="10" t="s">
        <v>15</v>
      </c>
      <c r="D46" s="10" t="s">
        <v>28</v>
      </c>
      <c r="E46" s="10" t="s">
        <v>141</v>
      </c>
      <c r="F46" s="10"/>
      <c r="G46" s="10"/>
      <c r="H46" s="12">
        <v>46054</v>
      </c>
      <c r="I46" s="12">
        <v>46143</v>
      </c>
      <c r="J46" s="13">
        <v>0.25</v>
      </c>
      <c r="K46" s="14">
        <f t="shared" si="0"/>
        <v>4.5</v>
      </c>
      <c r="L46" s="15">
        <f t="shared" ca="1" si="1"/>
        <v>75</v>
      </c>
      <c r="M46" s="16"/>
    </row>
    <row r="47" spans="1:13" ht="15" customHeight="1" x14ac:dyDescent="0.25">
      <c r="A47" s="3" t="s">
        <v>142</v>
      </c>
      <c r="B47" s="4">
        <v>25</v>
      </c>
      <c r="C47" s="3" t="s">
        <v>15</v>
      </c>
      <c r="D47" s="3" t="s">
        <v>28</v>
      </c>
      <c r="E47" s="3"/>
      <c r="F47" s="3" t="s">
        <v>46</v>
      </c>
      <c r="G47" s="3"/>
      <c r="H47" s="5">
        <v>46047</v>
      </c>
      <c r="I47" s="5">
        <v>46174</v>
      </c>
      <c r="J47" s="6">
        <v>0.3</v>
      </c>
      <c r="K47" s="7">
        <f t="shared" si="0"/>
        <v>7.5</v>
      </c>
      <c r="L47" s="8">
        <f t="shared" ca="1" si="1"/>
        <v>82</v>
      </c>
      <c r="M47" s="9"/>
    </row>
    <row r="48" spans="1:13" ht="15" customHeight="1" x14ac:dyDescent="0.25">
      <c r="A48" s="28" t="s">
        <v>143</v>
      </c>
      <c r="B48" s="29">
        <v>10</v>
      </c>
      <c r="C48" s="28" t="s">
        <v>144</v>
      </c>
      <c r="D48" s="28" t="s">
        <v>101</v>
      </c>
      <c r="E48" s="28" t="s">
        <v>145</v>
      </c>
      <c r="F48" s="28"/>
      <c r="G48" s="28" t="s">
        <v>146</v>
      </c>
      <c r="H48" s="30">
        <v>45809</v>
      </c>
      <c r="I48" s="30">
        <v>45901</v>
      </c>
      <c r="J48" s="31">
        <v>0</v>
      </c>
      <c r="K48" s="32">
        <f t="shared" si="0"/>
        <v>0</v>
      </c>
      <c r="L48" s="29" t="str">
        <f t="shared" ca="1" si="1"/>
        <v>—</v>
      </c>
      <c r="M48" s="33" t="s">
        <v>147</v>
      </c>
    </row>
    <row r="49" spans="1:13" ht="15" customHeight="1" x14ac:dyDescent="0.25">
      <c r="A49" s="28" t="s">
        <v>148</v>
      </c>
      <c r="B49" s="29">
        <v>7</v>
      </c>
      <c r="C49" s="28" t="s">
        <v>144</v>
      </c>
      <c r="D49" s="28" t="s">
        <v>16</v>
      </c>
      <c r="E49" s="28" t="s">
        <v>149</v>
      </c>
      <c r="F49" s="28"/>
      <c r="G49" s="28" t="s">
        <v>150</v>
      </c>
      <c r="H49" s="30">
        <v>45778</v>
      </c>
      <c r="I49" s="30">
        <v>45870</v>
      </c>
      <c r="J49" s="31">
        <v>0</v>
      </c>
      <c r="K49" s="32">
        <f t="shared" si="0"/>
        <v>0</v>
      </c>
      <c r="L49" s="29" t="str">
        <f t="shared" ca="1" si="1"/>
        <v>—</v>
      </c>
      <c r="M49" s="33" t="s">
        <v>151</v>
      </c>
    </row>
    <row r="50" spans="1:13" ht="15" customHeight="1" x14ac:dyDescent="0.25">
      <c r="A50" s="28" t="s">
        <v>152</v>
      </c>
      <c r="B50" s="29">
        <v>15</v>
      </c>
      <c r="C50" s="28" t="s">
        <v>144</v>
      </c>
      <c r="D50" s="28" t="s">
        <v>22</v>
      </c>
      <c r="E50" s="28" t="s">
        <v>153</v>
      </c>
      <c r="F50" s="28"/>
      <c r="G50" s="28" t="s">
        <v>39</v>
      </c>
      <c r="H50" s="30">
        <v>45748</v>
      </c>
      <c r="I50" s="30">
        <v>45839</v>
      </c>
      <c r="J50" s="31">
        <v>0</v>
      </c>
      <c r="K50" s="32">
        <f t="shared" si="0"/>
        <v>0</v>
      </c>
      <c r="L50" s="29" t="str">
        <f t="shared" ca="1" si="1"/>
        <v>—</v>
      </c>
      <c r="M50" s="33" t="s">
        <v>154</v>
      </c>
    </row>
    <row r="51" spans="1:13" ht="15" customHeight="1" x14ac:dyDescent="0.25">
      <c r="A51" s="34" t="s">
        <v>155</v>
      </c>
      <c r="B51" s="35">
        <f>SUMIF(C3:C50,"&lt;&gt;Perdido",B3:B50)</f>
        <v>2505</v>
      </c>
      <c r="C51" s="36"/>
      <c r="D51" s="36"/>
      <c r="E51" s="36"/>
      <c r="F51" s="36"/>
      <c r="G51" s="36"/>
      <c r="H51" s="36"/>
      <c r="I51" s="36"/>
      <c r="J51" s="37">
        <f>AVERAGEIF(C3:C50,"Ofertado",J3:J50)</f>
        <v>0.30540540540540545</v>
      </c>
      <c r="K51" s="35">
        <f>SUM(K3:K50)</f>
        <v>999.15</v>
      </c>
      <c r="L51" s="36"/>
      <c r="M51" s="36"/>
    </row>
  </sheetData>
  <mergeCells count="1">
    <mergeCell ref="A1:M1"/>
  </mergeCells>
  <conditionalFormatting sqref="L3:L50">
    <cfRule type="cellIs" dxfId="1" priority="2" operator="greaterThan">
      <formula>60</formula>
    </cfRule>
    <cfRule type="cellIs" dxfId="0" priority="3" operator="between">
      <formula>30</formula>
      <formula>60</formula>
    </cfRule>
  </conditionalFormatting>
  <dataValidations count="3">
    <dataValidation type="list" allowBlank="1" showErrorMessage="1" errorTitle="Fase no válida" error="Usa: En estudio / Ofertado / Adjudicado / Ganado / Perdido" sqref="C3:C100" xr:uid="{00000000-0002-0000-0000-000000000000}">
      <formula1>"En estudio,Ofertado,Adjudicado,Ganado,Perdido"</formula1>
      <formula2>0</formula2>
    </dataValidation>
    <dataValidation type="list" allowBlank="1" sqref="D3:D100" xr:uid="{00000000-0002-0000-0000-000001000000}">
      <formula1>"Carlos,Miguel,David,Elena,Laura,Javier,Alex,Sergio,Pablo,Tomas"</formula1>
      <formula2>0</formula2>
    </dataValidation>
    <dataValidation type="decimal" allowBlank="1" showErrorMessage="1" errorTitle="Probabilidad" error="Introduce un valor entre 0% y 100%" sqref="J3:J100" xr:uid="{00000000-0002-0000-0000-000002000000}">
      <formula1>0</formula1>
      <formula2>1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showGridLines="0" zoomScaleNormal="100" workbookViewId="0">
      <selection activeCell="M22" sqref="M22"/>
    </sheetView>
  </sheetViews>
  <sheetFormatPr baseColWidth="10" defaultColWidth="8.7109375" defaultRowHeight="15" x14ac:dyDescent="0.25"/>
  <cols>
    <col min="1" max="1" width="5" style="1" customWidth="1"/>
    <col min="2" max="2" width="28" style="1" customWidth="1"/>
    <col min="3" max="8" width="14" style="1" customWidth="1"/>
    <col min="9" max="9" width="28" style="1" customWidth="1"/>
    <col min="10" max="12" width="14" style="1" customWidth="1"/>
    <col min="13" max="13" width="28" style="1" customWidth="1"/>
    <col min="14" max="16" width="14" style="1" customWidth="1"/>
  </cols>
  <sheetData>
    <row r="1" spans="1:16" ht="31.5" customHeight="1" x14ac:dyDescent="0.25">
      <c r="A1" s="76" t="s">
        <v>156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3" spans="1:16" ht="18" customHeight="1" x14ac:dyDescent="0.25">
      <c r="A3" s="77"/>
      <c r="C3" s="78" t="s">
        <v>157</v>
      </c>
      <c r="D3" s="78"/>
      <c r="E3" s="78" t="s">
        <v>158</v>
      </c>
      <c r="F3" s="78"/>
      <c r="G3" s="78" t="s">
        <v>159</v>
      </c>
      <c r="H3" s="78"/>
      <c r="I3" s="78" t="s">
        <v>160</v>
      </c>
      <c r="J3" s="78"/>
      <c r="K3" s="78" t="s">
        <v>161</v>
      </c>
      <c r="L3" s="78"/>
      <c r="M3" s="78" t="s">
        <v>162</v>
      </c>
      <c r="N3" s="78"/>
      <c r="O3" s="78" t="s">
        <v>163</v>
      </c>
      <c r="P3" s="78"/>
    </row>
    <row r="4" spans="1:16" ht="42" customHeight="1" x14ac:dyDescent="0.25">
      <c r="A4" s="77"/>
      <c r="C4" s="79">
        <f>SUMIF(DATOS!C3:C50,"&lt;&gt;Perdido",DATOS!B3:B50)</f>
        <v>2505</v>
      </c>
      <c r="D4" s="79"/>
      <c r="E4" s="79">
        <f>SUM(DATOS!K3:K50)</f>
        <v>999.15</v>
      </c>
      <c r="F4" s="79"/>
      <c r="G4" s="79">
        <f>COUNTIF(DATOS!C3:C50,"Ofertado")</f>
        <v>37</v>
      </c>
      <c r="H4" s="79"/>
      <c r="I4" s="79">
        <f>COUNTIF(DATOS!C3:C50,"Ganado")</f>
        <v>7</v>
      </c>
      <c r="J4" s="79"/>
      <c r="K4" s="79">
        <f>COUNTIF(DATOS!C3:C50,"Perdido")</f>
        <v>3</v>
      </c>
      <c r="L4" s="79"/>
      <c r="M4" s="80">
        <f>IFERROR(COUNTIF(DATOS!C3:C50,"Ganado")/(COUNTIF(DATOS!C3:C50,"Ganado")+COUNTIF(DATOS!C3:C50,"Perdido")),0)</f>
        <v>0.7</v>
      </c>
      <c r="N4" s="80"/>
      <c r="O4" s="81">
        <f>AVERAGEIF(DATOS!C3:C50,"Ofertado",DATOS!J3:J50)</f>
        <v>0.30540540540540545</v>
      </c>
      <c r="P4" s="81"/>
    </row>
    <row r="5" spans="1:16" ht="7.5" customHeight="1" x14ac:dyDescent="0.25"/>
    <row r="6" spans="1:16" ht="21.75" customHeight="1" x14ac:dyDescent="0.25">
      <c r="B6" s="82" t="s">
        <v>164</v>
      </c>
      <c r="C6" s="82"/>
      <c r="D6" s="82"/>
      <c r="E6" s="82"/>
      <c r="F6" s="82"/>
      <c r="G6" s="82"/>
      <c r="I6" s="82" t="s">
        <v>165</v>
      </c>
      <c r="J6" s="82"/>
      <c r="K6" s="82"/>
      <c r="L6" s="82"/>
      <c r="M6" s="82"/>
      <c r="N6" s="82"/>
      <c r="P6" s="38"/>
    </row>
    <row r="7" spans="1:16" ht="19.5" customHeight="1" x14ac:dyDescent="0.25">
      <c r="B7" s="39" t="s">
        <v>4</v>
      </c>
      <c r="C7" s="39" t="s">
        <v>166</v>
      </c>
      <c r="D7" s="39" t="s">
        <v>167</v>
      </c>
      <c r="E7" s="39" t="s">
        <v>168</v>
      </c>
      <c r="F7" s="39" t="s">
        <v>169</v>
      </c>
      <c r="G7" s="39" t="s">
        <v>170</v>
      </c>
      <c r="I7" s="39" t="s">
        <v>3</v>
      </c>
      <c r="J7" s="39" t="s">
        <v>171</v>
      </c>
      <c r="K7" s="39" t="s">
        <v>172</v>
      </c>
      <c r="L7" s="39" t="s">
        <v>158</v>
      </c>
      <c r="M7" s="39" t="s">
        <v>173</v>
      </c>
    </row>
    <row r="8" spans="1:16" ht="15" customHeight="1" x14ac:dyDescent="0.25">
      <c r="B8" s="40" t="s">
        <v>16</v>
      </c>
      <c r="C8" s="26">
        <f>SUMPRODUCT((DATOS!D3:D50=B8)*(DATOS!C3:C50="Ofertado")*(DATOS!B3:B50))</f>
        <v>653</v>
      </c>
      <c r="D8" s="26">
        <f>SUMPRODUCT((DATOS!D3:D50=B8)*(DATOS!C3:C50="Ganado")*(DATOS!B3:B50))</f>
        <v>250</v>
      </c>
      <c r="E8" s="26">
        <f>SUMPRODUCT((DATOS!D3:D50=B8)*(DATOS!C3:C50="Perdido")*(DATOS!B3:B50))</f>
        <v>7</v>
      </c>
      <c r="F8" s="26">
        <f>COUNTIFS(DATOS!D3:D50,B8,DATOS!C3:C50,"Ofertado")</f>
        <v>8</v>
      </c>
      <c r="G8" s="26">
        <f>SUMPRODUCT((DATOS!D3:D50=B8)*(DATOS!K3:K50))</f>
        <v>392.45</v>
      </c>
      <c r="I8" s="41" t="s">
        <v>33</v>
      </c>
      <c r="J8" s="42">
        <f>COUNTIF(DATOS!C3:C50,I8)</f>
        <v>1</v>
      </c>
      <c r="K8" s="42">
        <f>SUMIF(DATOS!C3:C50,I8,DATOS!B3:B50)</f>
        <v>105</v>
      </c>
      <c r="L8" s="42">
        <f>SUMPRODUCT((DATOS!C3:C50=I8)*DATOS!K3:K50)</f>
        <v>21</v>
      </c>
      <c r="M8" s="43">
        <f>IFERROR(K8/SUM(K$8:K$12),0)</f>
        <v>4.1387465510445406E-2</v>
      </c>
    </row>
    <row r="9" spans="1:16" ht="15" customHeight="1" x14ac:dyDescent="0.25">
      <c r="B9" s="44" t="s">
        <v>22</v>
      </c>
      <c r="C9" s="7">
        <f>SUMPRODUCT((DATOS!D3:D50=B9)*(DATOS!C3:C50="Ofertado")*(DATOS!B3:B50))</f>
        <v>686</v>
      </c>
      <c r="D9" s="7">
        <f>SUMPRODUCT((DATOS!D3:D50=B9)*(DATOS!C3:C50="Ganado")*(DATOS!B3:B50))</f>
        <v>240</v>
      </c>
      <c r="E9" s="7">
        <f>SUMPRODUCT((DATOS!D3:D50=B9)*(DATOS!C3:C50="Perdido")*(DATOS!B3:B50))</f>
        <v>15</v>
      </c>
      <c r="F9" s="7">
        <f>COUNTIFS(DATOS!D3:D50,B9,DATOS!C3:C50,"Ofertado")</f>
        <v>14</v>
      </c>
      <c r="G9" s="7">
        <f>SUMPRODUCT((DATOS!D3:D50=B9)*(DATOS!K3:K50))</f>
        <v>396.9</v>
      </c>
      <c r="I9" s="45" t="s">
        <v>15</v>
      </c>
      <c r="J9" s="14">
        <f>COUNTIF(DATOS!C3:C50,I9)</f>
        <v>37</v>
      </c>
      <c r="K9" s="14">
        <f>SUMIF(DATOS!C3:C50,I9,DATOS!B3:B50)</f>
        <v>1855</v>
      </c>
      <c r="L9" s="14">
        <f>SUMPRODUCT((DATOS!C3:C50=I9)*DATOS!K3:K50)</f>
        <v>554.15</v>
      </c>
      <c r="M9" s="46">
        <f>IFERROR(K9/SUM(K$8:K$12),0)</f>
        <v>0.73117855735120219</v>
      </c>
    </row>
    <row r="10" spans="1:16" ht="15" customHeight="1" x14ac:dyDescent="0.25">
      <c r="B10" s="40" t="s">
        <v>28</v>
      </c>
      <c r="C10" s="26">
        <f>SUMPRODUCT((DATOS!D3:D50=B10)*(DATOS!C3:C50="Ofertado")*(DATOS!B3:B50))</f>
        <v>322</v>
      </c>
      <c r="D10" s="26">
        <f>SUMPRODUCT((DATOS!D3:D50=B10)*(DATOS!C3:C50="Ganado")*(DATOS!B3:B50))</f>
        <v>55</v>
      </c>
      <c r="E10" s="26">
        <f>SUMPRODUCT((DATOS!D3:D50=B10)*(DATOS!C3:C50="Perdido")*(DATOS!B3:B50))</f>
        <v>0</v>
      </c>
      <c r="F10" s="26">
        <f>COUNTIFS(DATOS!D3:D50,B10,DATOS!C3:C50,"Ofertado")</f>
        <v>12</v>
      </c>
      <c r="G10" s="26">
        <f>SUMPRODUCT((DATOS!D3:D50=B10)*(DATOS!K3:K50))</f>
        <v>153.29999999999998</v>
      </c>
      <c r="I10" s="47" t="s">
        <v>174</v>
      </c>
      <c r="J10" s="48">
        <f>COUNTIF(DATOS!C3:C50,I10)</f>
        <v>0</v>
      </c>
      <c r="K10" s="48">
        <f>SUMIF(DATOS!C3:C50,I10,DATOS!B3:B50)</f>
        <v>0</v>
      </c>
      <c r="L10" s="48">
        <f>SUMPRODUCT((DATOS!C3:C50=I10)*DATOS!K3:K50)</f>
        <v>0</v>
      </c>
      <c r="M10" s="49">
        <f>IFERROR(K10/SUM(K$8:K$12),0)</f>
        <v>0</v>
      </c>
    </row>
    <row r="11" spans="1:16" ht="15" customHeight="1" x14ac:dyDescent="0.25">
      <c r="B11" s="44" t="s">
        <v>129</v>
      </c>
      <c r="C11" s="7">
        <f>SUMPRODUCT((DATOS!D3:D50=B11)*(DATOS!C3:C50="Ofertado")*(DATOS!B3:B50))</f>
        <v>34</v>
      </c>
      <c r="D11" s="7">
        <f>SUMPRODUCT((DATOS!D3:D50=B11)*(DATOS!C3:C50="Ganado")*(DATOS!B3:B50))</f>
        <v>0</v>
      </c>
      <c r="E11" s="7">
        <f>SUMPRODUCT((DATOS!D3:D50=B11)*(DATOS!C3:C50="Perdido")*(DATOS!B3:B50))</f>
        <v>0</v>
      </c>
      <c r="F11" s="7">
        <f>COUNTIFS(DATOS!D3:D50,B11,DATOS!C3:C50,"Ofertado")</f>
        <v>1</v>
      </c>
      <c r="G11" s="7">
        <f>SUMPRODUCT((DATOS!D3:D50=B11)*(DATOS!K3:K50))</f>
        <v>8.5</v>
      </c>
      <c r="I11" s="50" t="s">
        <v>27</v>
      </c>
      <c r="J11" s="21">
        <f>COUNTIF(DATOS!C3:C50,I11)</f>
        <v>7</v>
      </c>
      <c r="K11" s="21">
        <f>SUMIF(DATOS!C3:C50,I11,DATOS!B3:B50)</f>
        <v>545</v>
      </c>
      <c r="L11" s="21">
        <f>SUMPRODUCT((DATOS!C3:C50=I11)*DATOS!K3:K50)</f>
        <v>424</v>
      </c>
      <c r="M11" s="51">
        <f>IFERROR(K11/SUM(K$8:K$12),0)</f>
        <v>0.21482065431612141</v>
      </c>
    </row>
    <row r="12" spans="1:16" ht="15" customHeight="1" x14ac:dyDescent="0.25">
      <c r="B12" s="40" t="s">
        <v>54</v>
      </c>
      <c r="C12" s="26">
        <f>SUMPRODUCT((DATOS!D3:D50=B12)*(DATOS!C3:C50="Ofertado")*(DATOS!B3:B50))</f>
        <v>20</v>
      </c>
      <c r="D12" s="26">
        <f>SUMPRODUCT((DATOS!D3:D50=B12)*(DATOS!C3:C50="Ganado")*(DATOS!B3:B50))</f>
        <v>0</v>
      </c>
      <c r="E12" s="26">
        <f>SUMPRODUCT((DATOS!D3:D50=B12)*(DATOS!C3:C50="Perdido")*(DATOS!B3:B50))</f>
        <v>0</v>
      </c>
      <c r="F12" s="26">
        <f>COUNTIFS(DATOS!D3:D50,B12,DATOS!C3:C50,"Ofertado")</f>
        <v>1</v>
      </c>
      <c r="G12" s="26">
        <f>SUMPRODUCT((DATOS!D3:D50=B12)*(DATOS!K3:K50))</f>
        <v>6</v>
      </c>
      <c r="I12" s="52" t="s">
        <v>144</v>
      </c>
      <c r="J12" s="32">
        <f>COUNTIF(DATOS!C3:C50,I12)</f>
        <v>3</v>
      </c>
      <c r="K12" s="32">
        <f>SUMIF(DATOS!C3:C50,I12,DATOS!B3:B50)</f>
        <v>32</v>
      </c>
      <c r="L12" s="32">
        <f>SUMPRODUCT((DATOS!C3:C50=I12)*DATOS!K3:K50)</f>
        <v>0</v>
      </c>
      <c r="M12" s="53">
        <f>IFERROR(K12/SUM(K$8:K$12),0)</f>
        <v>1.2613322822230981E-2</v>
      </c>
    </row>
    <row r="13" spans="1:16" ht="15" customHeight="1" x14ac:dyDescent="0.25">
      <c r="B13" s="44" t="s">
        <v>175</v>
      </c>
      <c r="C13" s="7">
        <f>SUMPRODUCT((DATOS!D3:D50=B13)*(DATOS!C3:C50="Ofertado")*(DATOS!B3:B50))</f>
        <v>0</v>
      </c>
      <c r="D13" s="7">
        <f>SUMPRODUCT((DATOS!D3:D50=B13)*(DATOS!C3:C50="Ganado")*(DATOS!B3:B50))</f>
        <v>0</v>
      </c>
      <c r="E13" s="7">
        <f>SUMPRODUCT((DATOS!D3:D50=B13)*(DATOS!C3:C50="Perdido")*(DATOS!B3:B50))</f>
        <v>0</v>
      </c>
      <c r="F13" s="7">
        <f>COUNTIFS(DATOS!D3:D50,B13,DATOS!C3:C50,"Ofertado")</f>
        <v>0</v>
      </c>
      <c r="G13" s="7">
        <f>SUMPRODUCT((DATOS!D3:D50=B13)*(DATOS!K3:K50))</f>
        <v>0</v>
      </c>
      <c r="I13" s="54" t="s">
        <v>176</v>
      </c>
      <c r="J13" s="55">
        <f>SUM(J8:J12)</f>
        <v>48</v>
      </c>
      <c r="K13" s="55">
        <f>SUM(K8:K12)</f>
        <v>2537</v>
      </c>
      <c r="L13" s="55">
        <f>SUM(L8:L12)</f>
        <v>999.15</v>
      </c>
      <c r="M13" s="56">
        <f>SUM(M8:M12)</f>
        <v>0.99999999999999989</v>
      </c>
    </row>
    <row r="14" spans="1:16" ht="15" customHeight="1" x14ac:dyDescent="0.25">
      <c r="B14" s="40" t="s">
        <v>101</v>
      </c>
      <c r="C14" s="26">
        <f>SUMPRODUCT((DATOS!D3:D50=B14)*(DATOS!C3:C50="Ofertado")*(DATOS!B3:B50))</f>
        <v>140</v>
      </c>
      <c r="D14" s="26">
        <f>SUMPRODUCT((DATOS!D3:D50=B14)*(DATOS!C3:C50="Ganado")*(DATOS!B3:B50))</f>
        <v>0</v>
      </c>
      <c r="E14" s="26">
        <f>SUMPRODUCT((DATOS!D3:D50=B14)*(DATOS!C3:C50="Perdido")*(DATOS!B3:B50))</f>
        <v>10</v>
      </c>
      <c r="F14" s="26">
        <f>COUNTIFS(DATOS!D3:D50,B14,DATOS!C3:C50,"Ofertado")</f>
        <v>1</v>
      </c>
      <c r="G14" s="26">
        <f>SUMPRODUCT((DATOS!D3:D50=B14)*(DATOS!K3:K50))</f>
        <v>42</v>
      </c>
    </row>
    <row r="15" spans="1:16" ht="15" customHeight="1" x14ac:dyDescent="0.25">
      <c r="B15" s="44" t="s">
        <v>177</v>
      </c>
      <c r="C15" s="7">
        <f>SUMPRODUCT((DATOS!D3:D50=B15)*(DATOS!C3:C50="Ofertado")*(DATOS!B3:B50))</f>
        <v>0</v>
      </c>
      <c r="D15" s="7">
        <f>SUMPRODUCT((DATOS!D3:D50=B15)*(DATOS!C3:C50="Ganado")*(DATOS!B3:B50))</f>
        <v>0</v>
      </c>
      <c r="E15" s="7">
        <f>SUMPRODUCT((DATOS!D3:D50=B15)*(DATOS!C3:C50="Perdido")*(DATOS!B3:B50))</f>
        <v>0</v>
      </c>
      <c r="F15" s="7">
        <f>COUNTIFS(DATOS!D3:D50,B15,DATOS!C3:C50,"Ofertado")</f>
        <v>0</v>
      </c>
      <c r="G15" s="7">
        <f>SUMPRODUCT((DATOS!D3:D50=B15)*(DATOS!K3:K50))</f>
        <v>0</v>
      </c>
    </row>
    <row r="16" spans="1:16" ht="15" customHeight="1" x14ac:dyDescent="0.25">
      <c r="B16" s="40" t="s">
        <v>178</v>
      </c>
      <c r="C16" s="26">
        <f>SUMPRODUCT((DATOS!D3:D50=B16)*(DATOS!C3:C50="Ofertado")*(DATOS!B3:B50))</f>
        <v>0</v>
      </c>
      <c r="D16" s="26">
        <f>SUMPRODUCT((DATOS!D3:D50=B16)*(DATOS!C3:C50="Ganado")*(DATOS!B3:B50))</f>
        <v>0</v>
      </c>
      <c r="E16" s="26">
        <f>SUMPRODUCT((DATOS!D3:D50=B16)*(DATOS!C3:C50="Perdido")*(DATOS!B3:B50))</f>
        <v>0</v>
      </c>
      <c r="F16" s="26">
        <f>COUNTIFS(DATOS!D3:D50,B16,DATOS!C3:C50,"Ofertado")</f>
        <v>0</v>
      </c>
      <c r="G16" s="26">
        <f>SUMPRODUCT((DATOS!D3:D50=B16)*(DATOS!K3:K50))</f>
        <v>0</v>
      </c>
    </row>
    <row r="17" spans="2:14" ht="15" customHeight="1" x14ac:dyDescent="0.25">
      <c r="B17" s="57" t="s">
        <v>176</v>
      </c>
      <c r="C17" s="55">
        <f>SUM(C8:C16)</f>
        <v>1855</v>
      </c>
      <c r="D17" s="55">
        <f>SUM(D8:D16)</f>
        <v>545</v>
      </c>
      <c r="E17" s="55">
        <f>SUM(E8:E16)</f>
        <v>32</v>
      </c>
      <c r="F17" s="55">
        <f>SUM(F8:F16)</f>
        <v>37</v>
      </c>
      <c r="G17" s="55">
        <f>SUM(G8:G16)</f>
        <v>999.14999999999986</v>
      </c>
    </row>
    <row r="19" spans="2:14" ht="21.75" customHeight="1" x14ac:dyDescent="0.25">
      <c r="B19" s="82" t="s">
        <v>179</v>
      </c>
      <c r="C19" s="82"/>
      <c r="D19" s="82"/>
      <c r="E19" s="82"/>
      <c r="F19" s="82"/>
      <c r="G19" s="82"/>
      <c r="I19" s="82" t="s">
        <v>180</v>
      </c>
      <c r="J19" s="82"/>
      <c r="K19" s="82"/>
      <c r="L19" s="82"/>
      <c r="M19" s="82"/>
      <c r="N19" s="82"/>
    </row>
    <row r="20" spans="2:14" ht="15" customHeight="1" x14ac:dyDescent="0.25">
      <c r="B20" s="39" t="s">
        <v>1</v>
      </c>
      <c r="C20" s="39" t="s">
        <v>2</v>
      </c>
      <c r="D20" s="39" t="s">
        <v>3</v>
      </c>
      <c r="E20" s="39" t="s">
        <v>181</v>
      </c>
      <c r="F20" s="39" t="s">
        <v>182</v>
      </c>
      <c r="I20" s="58" t="s">
        <v>1</v>
      </c>
      <c r="J20" s="58" t="s">
        <v>12</v>
      </c>
      <c r="K20" s="58" t="s">
        <v>2</v>
      </c>
      <c r="L20" s="58" t="s">
        <v>181</v>
      </c>
      <c r="M20" s="58" t="s">
        <v>183</v>
      </c>
    </row>
    <row r="21" spans="2:14" ht="15" customHeight="1" x14ac:dyDescent="0.25">
      <c r="B21" s="59" t="str">
        <f>IFERROR(INDEX(DATOS!A3:A50,MATCH(C21,IF(DATOS!C3:C50="Ofertado",DATOS!B3:B50),0)),"")</f>
        <v>CIUDAD JUSTICIA MADRID LOTE 2</v>
      </c>
      <c r="C21" s="21">
        <f>IFERROR(LARGE(IF(DATOS!C3:C50="Ofertado",DATOS!B3:B50),1),"")</f>
        <v>340</v>
      </c>
      <c r="D21" s="60" t="str">
        <f>IFERROR(INDEX(DATOS!C3:C50,MATCH(C21,IF(DATOS!C3:C50="Ofertado",DATOS!B3:B50),0)),"")</f>
        <v>Ofertado</v>
      </c>
      <c r="E21" s="60" t="str">
        <f>IFERROR(INDEX(DATOS!D3:D50,MATCH(C21,IF(DATOS!C3:C50="Ofertado",DATOS!B3:B50),0)),"")</f>
        <v>Carlos</v>
      </c>
      <c r="F21" s="20">
        <f>IFERROR(INDEX(DATOS!J3:J50,MATCH(C21,IF(DATOS!C3:C50="Ofertado",DATOS!B3:B50),0)),"")</f>
        <v>0.25</v>
      </c>
      <c r="I21" s="61" t="str">
        <f ca="1">IFERROR(INDEX(DATOS!A3:A50,MATCH(J21,IF((DATOS!C3:C50="Ofertado")*ISNUMBER(DATOS!L3:L50),DATOS!L3:L50),0)),"")</f>
        <v>HOSPITAL REGIONAL SUR</v>
      </c>
      <c r="J21" s="32">
        <f ca="1">IFERROR(LARGE(IF((DATOS!C3:C50="Ofertado")*ISNUMBER(DATOS!L3:L50),DATOS!L3:L50),1),"")</f>
        <v>102</v>
      </c>
      <c r="K21" s="32">
        <f ca="1">IFERROR(INDEX(DATOS!B3:B50,MATCH(J21,IF((DATOS!C3:C50="Ofertado")*ISNUMBER(DATOS!L3:L50),DATOS!L3:L50),0)),"")</f>
        <v>155</v>
      </c>
      <c r="L21" s="62" t="str">
        <f ca="1">IFERROR(INDEX(DATOS!D3:D50,MATCH(J21,IF((DATOS!C3:C50="Ofertado")*ISNUMBER(DATOS!L3:L50),DATOS!L3:L50),0)),"")</f>
        <v>Miguel</v>
      </c>
      <c r="M21" s="61" t="str">
        <f ca="1">IFERROR(INDEX(DATOS!M3:M50,MATCH(J21,IF((DATOS!C3:C50="Ofertado")*ISNUMBER(DATOS!L3:L50),DATOS!L3:L50),0)),"")</f>
        <v>Sin marcas en pliegos</v>
      </c>
    </row>
    <row r="22" spans="2:14" ht="15" customHeight="1" x14ac:dyDescent="0.25">
      <c r="B22" s="63" t="str">
        <f>IFERROR(INDEX(DATOS!A3:A50,MATCH(C22,IF(DATOS!C3:C50="Ofertado",DATOS!B3:B50),0)),"")</f>
        <v>HOSPITAL REGIONAL SUR</v>
      </c>
      <c r="C22" s="7">
        <f>IFERROR(LARGE(IF(DATOS!C3:C50="Ofertado",DATOS!B3:B50),2),"")</f>
        <v>155</v>
      </c>
      <c r="D22" s="64" t="str">
        <f>IFERROR(INDEX(DATOS!C3:C50,MATCH(C22,IF(DATOS!C3:C50="Ofertado",DATOS!B3:B50),0)),"")</f>
        <v>Ofertado</v>
      </c>
      <c r="E22" s="64" t="str">
        <f>IFERROR(INDEX(DATOS!D3:D50,MATCH(C22,IF(DATOS!C3:C50="Ofertado",DATOS!B3:B50),0)),"")</f>
        <v>Miguel</v>
      </c>
      <c r="F22" s="6">
        <f>IFERROR(INDEX(DATOS!J3:J50,MATCH(C22,IF(DATOS!C3:C50="Ofertado",DATOS!B3:B50),0)),"")</f>
        <v>0.3</v>
      </c>
      <c r="I22" s="65" t="str">
        <f ca="1">IFERROR(INDEX(DATOS!A3:A50,MATCH(J22,IF((DATOS!C3:C50="Ofertado")*ISNUMBER(DATOS!L3:L50),DATOS!L3:L50),0)),"")</f>
        <v>VELAZQUEZ NORTE 34</v>
      </c>
      <c r="J22" s="66">
        <f ca="1">IFERROR(LARGE(IF((DATOS!C3:C50="Ofertado")*ISNUMBER(DATOS!L3:L50),DATOS!L3:L50),2),"")</f>
        <v>97</v>
      </c>
      <c r="K22" s="66">
        <f ca="1">IFERROR(INDEX(DATOS!B3:B50,MATCH(J22,IF((DATOS!C3:C50="Ofertado")*ISNUMBER(DATOS!L3:L50),DATOS!L3:L50),0)),"")</f>
        <v>40</v>
      </c>
      <c r="L22" s="67" t="str">
        <f ca="1">IFERROR(INDEX(DATOS!D3:D50,MATCH(J22,IF((DATOS!C3:C50="Ofertado")*ISNUMBER(DATOS!L3:L50),DATOS!L3:L50),0)),"")</f>
        <v>Miguel</v>
      </c>
      <c r="M22" s="65">
        <f ca="1">IFERROR(INDEX(DATOS!M3:M50,MATCH(J22,IF((DATOS!C3:C50="Ofertado")*ISNUMBER(DATOS!L3:L50),DATOS!L3:L50),0)),"")</f>
        <v>0</v>
      </c>
    </row>
    <row r="23" spans="2:14" ht="15" customHeight="1" x14ac:dyDescent="0.25">
      <c r="B23" s="68" t="str">
        <f>IFERROR(INDEX(DATOS!A3:A50,MATCH(C23,IF(DATOS!C3:C50="Ofertado",DATOS!B3:B50),0)),"")</f>
        <v>SEDE ENERGAL</v>
      </c>
      <c r="C23" s="14">
        <f>IFERROR(LARGE(IF(DATOS!C3:C50="Ofertado",DATOS!B3:B50),3),"")</f>
        <v>150</v>
      </c>
      <c r="D23" s="69" t="str">
        <f>IFERROR(INDEX(DATOS!C3:C50,MATCH(C23,IF(DATOS!C3:C50="Ofertado",DATOS!B3:B50),0)),"")</f>
        <v>Ganado</v>
      </c>
      <c r="E23" s="69" t="str">
        <f>IFERROR(INDEX(DATOS!D3:D50,MATCH(C23,IF(DATOS!C3:C50="Ofertado",DATOS!B3:B50),0)),"")</f>
        <v>Carlos</v>
      </c>
      <c r="F23" s="13">
        <f>IFERROR(INDEX(DATOS!J3:J50,MATCH(C23,IF(DATOS!C3:C50="Ofertado",DATOS!B3:B50),0)),"")</f>
        <v>1</v>
      </c>
      <c r="I23" s="61" t="str">
        <f ca="1">IFERROR(INDEX(DATOS!A3:A50,MATCH(J23,IF((DATOS!C3:C50="Ofertado")*ISNUMBER(DATOS!L3:L50),DATOS!L3:L50),0)),"")</f>
        <v>VELAZQUEZ NORTE 34</v>
      </c>
      <c r="J23" s="32">
        <f ca="1">IFERROR(LARGE(IF((DATOS!C3:C50="Ofertado")*ISNUMBER(DATOS!L3:L50),DATOS!L3:L50),3),"")</f>
        <v>97</v>
      </c>
      <c r="K23" s="32">
        <f ca="1">IFERROR(INDEX(DATOS!B3:B50,MATCH(J23,IF((DATOS!C3:C50="Ofertado")*ISNUMBER(DATOS!L3:L50),DATOS!L3:L50),0)),"")</f>
        <v>40</v>
      </c>
      <c r="L23" s="62" t="str">
        <f ca="1">IFERROR(INDEX(DATOS!D3:D50,MATCH(J23,IF((DATOS!C3:C50="Ofertado")*ISNUMBER(DATOS!L3:L50),DATOS!L3:L50),0)),"")</f>
        <v>Miguel</v>
      </c>
      <c r="M23" s="61">
        <f ca="1">IFERROR(INDEX(DATOS!M3:M50,MATCH(J23,IF((DATOS!C3:C50="Ofertado")*ISNUMBER(DATOS!L3:L50),DATOS!L3:L50),0)),"")</f>
        <v>0</v>
      </c>
    </row>
    <row r="24" spans="2:14" ht="15" customHeight="1" x14ac:dyDescent="0.25">
      <c r="B24" s="63" t="str">
        <f>IFERROR(INDEX(DATOS!A3:A50,MATCH(C24,IF(DATOS!C3:C50="Ofertado",DATOS!B3:B50),0)),"")</f>
        <v>CIUDAD JUSTICIA MADRID LOTE 1</v>
      </c>
      <c r="C24" s="7">
        <f>IFERROR(LARGE(IF(DATOS!C3:C50="Ofertado",DATOS!B3:B50),4),"")</f>
        <v>140</v>
      </c>
      <c r="D24" s="64" t="str">
        <f>IFERROR(INDEX(DATOS!C3:C50,MATCH(C24,IF(DATOS!C3:C50="Ofertado",DATOS!B3:B50),0)),"")</f>
        <v>Ofertado</v>
      </c>
      <c r="E24" s="64" t="str">
        <f>IFERROR(INDEX(DATOS!D3:D50,MATCH(C24,IF(DATOS!C3:C50="Ofertado",DATOS!B3:B50),0)),"")</f>
        <v>Alex</v>
      </c>
      <c r="F24" s="6">
        <f>IFERROR(INDEX(DATOS!J3:J50,MATCH(C24,IF(DATOS!C3:C50="Ofertado",DATOS!B3:B50),0)),"")</f>
        <v>0.3</v>
      </c>
      <c r="I24" s="65" t="str">
        <f ca="1">IFERROR(INDEX(DATOS!A3:A50,MATCH(J24,IF((DATOS!C3:C50="Ofertado")*ISNUMBER(DATOS!L3:L50),DATOS!L3:L50),0)),"")</f>
        <v>OFICINAS ASEGURADISA PSO. RECOLETOS</v>
      </c>
      <c r="J24" s="66">
        <f ca="1">IFERROR(LARGE(IF((DATOS!C3:C50="Ofertado")*ISNUMBER(DATOS!L3:L50),DATOS!L3:L50),4),"")</f>
        <v>92</v>
      </c>
      <c r="K24" s="66">
        <f ca="1">IFERROR(INDEX(DATOS!B3:B50,MATCH(J24,IF((DATOS!C3:C50="Ofertado")*ISNUMBER(DATOS!L3:L50),DATOS!L3:L50),0)),"")</f>
        <v>105</v>
      </c>
      <c r="L24" s="67" t="str">
        <f ca="1">IFERROR(INDEX(DATOS!D3:D50,MATCH(J24,IF((DATOS!C3:C50="Ofertado")*ISNUMBER(DATOS!L3:L50),DATOS!L3:L50),0)),"")</f>
        <v>Miguel</v>
      </c>
      <c r="M24" s="65" t="str">
        <f ca="1">IFERROR(INDEX(DATOS!M3:M50,MATCH(J24,IF((DATOS!C3:C50="Ofertado")*ISNUMBER(DATOS!L3:L50),DATOS!L3:L50),0)),"")</f>
        <v>Perdimos Edif. Watson contra Wieland</v>
      </c>
    </row>
    <row r="25" spans="2:14" ht="15" customHeight="1" x14ac:dyDescent="0.25">
      <c r="B25" s="68" t="str">
        <f>IFERROR(INDEX(DATOS!A3:A50,MATCH(C25,IF(DATOS!C3:C50="Ofertado",DATOS!B3:B50),0)),"")</f>
        <v>HOSPITAL CENTRAL NORTE</v>
      </c>
      <c r="C25" s="14">
        <f>IFERROR(LARGE(IF(DATOS!C3:C50="Ofertado",DATOS!B3:B50),5),"")</f>
        <v>105</v>
      </c>
      <c r="D25" s="69" t="str">
        <f>IFERROR(INDEX(DATOS!C3:C50,MATCH(C25,IF(DATOS!C3:C50="Ofertado",DATOS!B3:B50),0)),"")</f>
        <v>En estudio</v>
      </c>
      <c r="E25" s="69" t="str">
        <f>IFERROR(INDEX(DATOS!D3:D50,MATCH(C25,IF(DATOS!C3:C50="Ofertado",DATOS!B3:B50),0)),"")</f>
        <v>Carlos</v>
      </c>
      <c r="F25" s="13">
        <f>IFERROR(INDEX(DATOS!J3:J50,MATCH(C25,IF(DATOS!C3:C50="Ofertado",DATOS!B3:B50),0)),"")</f>
        <v>0.2</v>
      </c>
      <c r="I25" s="61" t="str">
        <f ca="1">IFERROR(INDEX(DATOS!A3:A50,MATCH(J25,IF((DATOS!C3:C50="Ofertado")*ISNUMBER(DATOS!L3:L50),DATOS!L3:L50),0)),"")</f>
        <v>OFICINAS ASEGURADISA PSO. RECOLETOS</v>
      </c>
      <c r="J25" s="32">
        <f ca="1">IFERROR(LARGE(IF((DATOS!C3:C50="Ofertado")*ISNUMBER(DATOS!L3:L50),DATOS!L3:L50),5),"")</f>
        <v>92</v>
      </c>
      <c r="K25" s="32">
        <f ca="1">IFERROR(INDEX(DATOS!B3:B50,MATCH(J25,IF((DATOS!C3:C50="Ofertado")*ISNUMBER(DATOS!L3:L50),DATOS!L3:L50),0)),"")</f>
        <v>105</v>
      </c>
      <c r="L25" s="62" t="str">
        <f ca="1">IFERROR(INDEX(DATOS!D3:D50,MATCH(J25,IF((DATOS!C3:C50="Ofertado")*ISNUMBER(DATOS!L3:L50),DATOS!L3:L50),0)),"")</f>
        <v>Miguel</v>
      </c>
      <c r="M25" s="61" t="str">
        <f ca="1">IFERROR(INDEX(DATOS!M3:M50,MATCH(J25,IF((DATOS!C3:C50="Ofertado")*ISNUMBER(DATOS!L3:L50),DATOS!L3:L50),0)),"")</f>
        <v>Perdimos Edif. Watson contra Wieland</v>
      </c>
    </row>
    <row r="26" spans="2:14" ht="15" customHeight="1" x14ac:dyDescent="0.25">
      <c r="B26" s="63" t="str">
        <f>IFERROR(INDEX(DATOS!A3:A50,MATCH(C26,IF(DATOS!C3:C50="Ofertado",DATOS!B3:B50),0)),"")</f>
        <v>HOSPITAL CENTRAL NORTE</v>
      </c>
      <c r="C26" s="7">
        <f>IFERROR(LARGE(IF(DATOS!C3:C50="Ofertado",DATOS!B3:B50),6),"")</f>
        <v>105</v>
      </c>
      <c r="D26" s="64" t="str">
        <f>IFERROR(INDEX(DATOS!C3:C50,MATCH(C26,IF(DATOS!C3:C50="Ofertado",DATOS!B3:B50),0)),"")</f>
        <v>En estudio</v>
      </c>
      <c r="E26" s="64" t="str">
        <f>IFERROR(INDEX(DATOS!D3:D50,MATCH(C26,IF(DATOS!C3:C50="Ofertado",DATOS!B3:B50),0)),"")</f>
        <v>Carlos</v>
      </c>
      <c r="F26" s="6">
        <f>IFERROR(INDEX(DATOS!J3:J50,MATCH(C26,IF(DATOS!C3:C50="Ofertado",DATOS!B3:B50),0)),"")</f>
        <v>0.2</v>
      </c>
      <c r="I26" s="65" t="str">
        <f ca="1">IFERROR(INDEX(DATOS!A3:A50,MATCH(J26,IF((DATOS!C3:C50="Ofertado")*ISNUMBER(DATOS!L3:L50),DATOS!L3:L50),0)),"")</f>
        <v>OFICINAS ASEGURADISA PSO. RECOLETOS</v>
      </c>
      <c r="J26" s="66">
        <f ca="1">IFERROR(LARGE(IF((DATOS!C3:C50="Ofertado")*ISNUMBER(DATOS!L3:L50),DATOS!L3:L50),6),"")</f>
        <v>92</v>
      </c>
      <c r="K26" s="66">
        <f ca="1">IFERROR(INDEX(DATOS!B3:B50,MATCH(J26,IF((DATOS!C3:C50="Ofertado")*ISNUMBER(DATOS!L3:L50),DATOS!L3:L50),0)),"")</f>
        <v>105</v>
      </c>
      <c r="L26" s="67" t="str">
        <f ca="1">IFERROR(INDEX(DATOS!D3:D50,MATCH(J26,IF((DATOS!C3:C50="Ofertado")*ISNUMBER(DATOS!L3:L50),DATOS!L3:L50),0)),"")</f>
        <v>Miguel</v>
      </c>
      <c r="M26" s="65" t="str">
        <f ca="1">IFERROR(INDEX(DATOS!M3:M50,MATCH(J26,IF((DATOS!C3:C50="Ofertado")*ISNUMBER(DATOS!L3:L50),DATOS!L3:L50),0)),"")</f>
        <v>Perdimos Edif. Watson contra Wieland</v>
      </c>
    </row>
    <row r="27" spans="2:14" ht="15" customHeight="1" x14ac:dyDescent="0.25">
      <c r="B27" s="68" t="str">
        <f>IFERROR(INDEX(DATOS!A3:A50,MATCH(C27,IF(DATOS!C3:C50="Ofertado",DATOS!B3:B50),0)),"")</f>
        <v>HOSPITAL CENTRAL NORTE</v>
      </c>
      <c r="C27" s="14">
        <f>IFERROR(LARGE(IF(DATOS!C3:C50="Ofertado",DATOS!B3:B50),7),"")</f>
        <v>105</v>
      </c>
      <c r="D27" s="69" t="str">
        <f>IFERROR(INDEX(DATOS!C3:C50,MATCH(C27,IF(DATOS!C3:C50="Ofertado",DATOS!B3:B50),0)),"")</f>
        <v>En estudio</v>
      </c>
      <c r="E27" s="69" t="str">
        <f>IFERROR(INDEX(DATOS!D3:D50,MATCH(C27,IF(DATOS!C3:C50="Ofertado",DATOS!B3:B50),0)),"")</f>
        <v>Carlos</v>
      </c>
      <c r="F27" s="13">
        <f>IFERROR(INDEX(DATOS!J3:J50,MATCH(C27,IF(DATOS!C3:C50="Ofertado",DATOS!B3:B50),0)),"")</f>
        <v>0.2</v>
      </c>
      <c r="I27" s="61" t="str">
        <f ca="1">IFERROR(INDEX(DATOS!A3:A50,MATCH(J27,IF((DATOS!C3:C50="Ofertado")*ISNUMBER(DATOS!L3:L50),DATOS!L3:L50),0)),"")</f>
        <v>OFICINAS ASEGURADISA PSO. RECOLETOS</v>
      </c>
      <c r="J27" s="32">
        <f ca="1">IFERROR(LARGE(IF((DATOS!C3:C50="Ofertado")*ISNUMBER(DATOS!L3:L50),DATOS!L3:L50),7),"")</f>
        <v>92</v>
      </c>
      <c r="K27" s="32">
        <f ca="1">IFERROR(INDEX(DATOS!B3:B50,MATCH(J27,IF((DATOS!C3:C50="Ofertado")*ISNUMBER(DATOS!L3:L50),DATOS!L3:L50),0)),"")</f>
        <v>105</v>
      </c>
      <c r="L27" s="62" t="str">
        <f ca="1">IFERROR(INDEX(DATOS!D3:D50,MATCH(J27,IF((DATOS!C3:C50="Ofertado")*ISNUMBER(DATOS!L3:L50),DATOS!L3:L50),0)),"")</f>
        <v>Miguel</v>
      </c>
      <c r="M27" s="61" t="str">
        <f ca="1">IFERROR(INDEX(DATOS!M3:M50,MATCH(J27,IF((DATOS!C3:C50="Ofertado")*ISNUMBER(DATOS!L3:L50),DATOS!L3:L50),0)),"")</f>
        <v>Perdimos Edif. Watson contra Wieland</v>
      </c>
    </row>
    <row r="28" spans="2:14" ht="15" customHeight="1" x14ac:dyDescent="0.25">
      <c r="B28" s="63" t="str">
        <f>IFERROR(INDEX(DATOS!A3:A50,MATCH(C28,IF(DATOS!C3:C50="Ofertado",DATOS!B3:B50),0)),"")</f>
        <v/>
      </c>
      <c r="C28" s="7" t="str">
        <f>IFERROR(LARGE(IF(DATOS!C3:C50="Ofertado",DATOS!B3:B50),8),"")</f>
        <v/>
      </c>
      <c r="D28" s="64" t="str">
        <f>IFERROR(INDEX(DATOS!C3:C50,MATCH(C28,IF(DATOS!C3:C50="Ofertado",DATOS!B3:B50),0)),"")</f>
        <v/>
      </c>
      <c r="E28" s="64" t="str">
        <f>IFERROR(INDEX(DATOS!D3:D50,MATCH(C28,IF(DATOS!C3:C50="Ofertado",DATOS!B3:B50),0)),"")</f>
        <v/>
      </c>
      <c r="F28" s="6" t="str">
        <f>IFERROR(INDEX(DATOS!J3:J50,MATCH(C28,IF(DATOS!C3:C50="Ofertado",DATOS!B3:B50),0)),"")</f>
        <v/>
      </c>
      <c r="I28" s="65" t="str">
        <f ca="1">IFERROR(INDEX(DATOS!A3:A50,MATCH(J28,IF((DATOS!C3:C50="Ofertado")*ISNUMBER(DATOS!L3:L50),DATOS!L3:L50),0)),"")</f>
        <v/>
      </c>
      <c r="J28" s="66" t="str">
        <f ca="1">IFERROR(LARGE(IF((DATOS!C3:C50="Ofertado")*ISNUMBER(DATOS!L3:L50),DATOS!L3:L50),8),"")</f>
        <v/>
      </c>
      <c r="K28" s="66" t="str">
        <f ca="1">IFERROR(INDEX(DATOS!B3:B50,MATCH(J28,IF((DATOS!C3:C50="Ofertado")*ISNUMBER(DATOS!L3:L50),DATOS!L3:L50),0)),"")</f>
        <v/>
      </c>
      <c r="L28" s="67" t="str">
        <f ca="1">IFERROR(INDEX(DATOS!D3:D50,MATCH(J28,IF((DATOS!C3:C50="Ofertado")*ISNUMBER(DATOS!L3:L50),DATOS!L3:L50),0)),"")</f>
        <v/>
      </c>
      <c r="M28" s="65" t="str">
        <f ca="1">IFERROR(INDEX(DATOS!M3:M50,MATCH(J28,IF((DATOS!C3:C50="Ofertado")*ISNUMBER(DATOS!L3:L50),DATOS!L3:L50),0)),"")</f>
        <v/>
      </c>
    </row>
    <row r="29" spans="2:14" ht="15" customHeight="1" x14ac:dyDescent="0.25">
      <c r="B29" s="68" t="str">
        <f>IFERROR(INDEX(DATOS!A3:A50,MATCH(C29,IF(DATOS!C3:C50="Ofertado",DATOS!B3:B50),0)),"")</f>
        <v>SEDE ENERGAR FASE 2</v>
      </c>
      <c r="C29" s="14">
        <f>IFERROR(LARGE(IF(DATOS!C3:C50="Ofertado",DATOS!B3:B50),9),"")</f>
        <v>99</v>
      </c>
      <c r="D29" s="69" t="str">
        <f>IFERROR(INDEX(DATOS!C3:C50,MATCH(C29,IF(DATOS!C3:C50="Ofertado",DATOS!B3:B50),0)),"")</f>
        <v>Ofertado</v>
      </c>
      <c r="E29" s="69" t="str">
        <f>IFERROR(INDEX(DATOS!D3:D50,MATCH(C29,IF(DATOS!C3:C50="Ofertado",DATOS!B3:B50),0)),"")</f>
        <v>Miguel</v>
      </c>
      <c r="F29" s="13">
        <f>IFERROR(INDEX(DATOS!J3:J50,MATCH(C29,IF(DATOS!C3:C50="Ofertado",DATOS!B3:B50),0)),"")</f>
        <v>0.35</v>
      </c>
    </row>
    <row r="30" spans="2:14" ht="15" customHeight="1" x14ac:dyDescent="0.25">
      <c r="B30" s="63" t="str">
        <f>IFERROR(INDEX(DATOS!A3:A50,MATCH(C30,IF(DATOS!C3:C50="Ofertado",DATOS!B3:B50),0)),"")</f>
        <v>NUEVA SEDE DEPORTIVA LEVANTE</v>
      </c>
      <c r="C30" s="7">
        <f>IFERROR(LARGE(IF(DATOS!C3:C50="Ofertado",DATOS!B3:B50),10),"")</f>
        <v>86</v>
      </c>
      <c r="D30" s="64" t="str">
        <f>IFERROR(INDEX(DATOS!C3:C50,MATCH(C30,IF(DATOS!C3:C50="Ofertado",DATOS!B3:B50),0)),"")</f>
        <v>Ofertado</v>
      </c>
      <c r="E30" s="64" t="str">
        <f>IFERROR(INDEX(DATOS!D3:D50,MATCH(C30,IF(DATOS!C3:C50="Ofertado",DATOS!B3:B50),0)),"")</f>
        <v>Carlos</v>
      </c>
      <c r="F30" s="6">
        <f>IFERROR(INDEX(DATOS!J3:J50,MATCH(C30,IF(DATOS!C3:C50="Ofertado",DATOS!B3:B50),0)),"")</f>
        <v>0.35</v>
      </c>
    </row>
    <row r="33" spans="2:14" ht="19.5" customHeight="1" x14ac:dyDescent="0.25">
      <c r="B33" s="83" t="s">
        <v>184</v>
      </c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</row>
  </sheetData>
  <mergeCells count="21">
    <mergeCell ref="B6:G6"/>
    <mergeCell ref="I6:N6"/>
    <mergeCell ref="B19:G19"/>
    <mergeCell ref="I19:N19"/>
    <mergeCell ref="B33:N33"/>
    <mergeCell ref="A1:P1"/>
    <mergeCell ref="A3:A4"/>
    <mergeCell ref="C3:D3"/>
    <mergeCell ref="E3:F3"/>
    <mergeCell ref="G3:H3"/>
    <mergeCell ref="I3:J3"/>
    <mergeCell ref="K3:L3"/>
    <mergeCell ref="M3:N3"/>
    <mergeCell ref="O3:P3"/>
    <mergeCell ref="C4:D4"/>
    <mergeCell ref="E4:F4"/>
    <mergeCell ref="G4:H4"/>
    <mergeCell ref="I4:J4"/>
    <mergeCell ref="K4:L4"/>
    <mergeCell ref="M4:N4"/>
    <mergeCell ref="O4:P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"/>
  <sheetViews>
    <sheetView showGridLines="0" zoomScaleNormal="100" workbookViewId="0">
      <selection activeCell="B4" sqref="B4"/>
    </sheetView>
  </sheetViews>
  <sheetFormatPr baseColWidth="10" defaultColWidth="8.7109375" defaultRowHeight="15" x14ac:dyDescent="0.25"/>
  <cols>
    <col min="1" max="1" width="3" style="1" customWidth="1"/>
    <col min="2" max="2" width="70" style="1" customWidth="1"/>
  </cols>
  <sheetData>
    <row r="1" spans="2:2" ht="30" customHeight="1" x14ac:dyDescent="0.25">
      <c r="B1" s="70" t="s">
        <v>185</v>
      </c>
    </row>
    <row r="2" spans="2:2" ht="18" customHeight="1" x14ac:dyDescent="0.25">
      <c r="B2" s="71"/>
    </row>
    <row r="3" spans="2:2" ht="18" customHeight="1" x14ac:dyDescent="0.25">
      <c r="B3" s="72" t="s">
        <v>186</v>
      </c>
    </row>
    <row r="4" spans="2:2" ht="18" customHeight="1" x14ac:dyDescent="0.25">
      <c r="B4" s="73" t="s">
        <v>187</v>
      </c>
    </row>
    <row r="5" spans="2:2" ht="18" customHeight="1" x14ac:dyDescent="0.25">
      <c r="B5" s="74" t="s">
        <v>188</v>
      </c>
    </row>
    <row r="6" spans="2:2" ht="18" customHeight="1" x14ac:dyDescent="0.25">
      <c r="B6" s="73" t="s">
        <v>189</v>
      </c>
    </row>
    <row r="7" spans="2:2" ht="18" customHeight="1" x14ac:dyDescent="0.25">
      <c r="B7" s="74" t="s">
        <v>190</v>
      </c>
    </row>
    <row r="8" spans="2:2" ht="18" customHeight="1" x14ac:dyDescent="0.25">
      <c r="B8" s="73" t="s">
        <v>191</v>
      </c>
    </row>
    <row r="9" spans="2:2" ht="18" customHeight="1" x14ac:dyDescent="0.25">
      <c r="B9" s="74" t="s">
        <v>192</v>
      </c>
    </row>
    <row r="10" spans="2:2" ht="18" customHeight="1" x14ac:dyDescent="0.25">
      <c r="B10" s="73" t="s">
        <v>193</v>
      </c>
    </row>
    <row r="11" spans="2:2" ht="18" customHeight="1" x14ac:dyDescent="0.25">
      <c r="B11" s="74" t="s">
        <v>194</v>
      </c>
    </row>
    <row r="12" spans="2:2" ht="18" customHeight="1" x14ac:dyDescent="0.25">
      <c r="B12" s="73" t="s">
        <v>195</v>
      </c>
    </row>
    <row r="13" spans="2:2" ht="18" customHeight="1" x14ac:dyDescent="0.25">
      <c r="B13" s="74" t="s">
        <v>196</v>
      </c>
    </row>
    <row r="14" spans="2:2" ht="18" customHeight="1" x14ac:dyDescent="0.25">
      <c r="B14" s="73" t="s">
        <v>197</v>
      </c>
    </row>
    <row r="15" spans="2:2" ht="18" customHeight="1" x14ac:dyDescent="0.25">
      <c r="B15" s="71"/>
    </row>
    <row r="16" spans="2:2" ht="18" customHeight="1" x14ac:dyDescent="0.25">
      <c r="B16" s="72" t="s">
        <v>198</v>
      </c>
    </row>
    <row r="17" spans="2:2" ht="18" customHeight="1" x14ac:dyDescent="0.25">
      <c r="B17" s="74" t="s">
        <v>199</v>
      </c>
    </row>
    <row r="18" spans="2:2" ht="18" customHeight="1" x14ac:dyDescent="0.25">
      <c r="B18" s="73" t="s">
        <v>200</v>
      </c>
    </row>
    <row r="19" spans="2:2" ht="18" customHeight="1" x14ac:dyDescent="0.25">
      <c r="B19" s="74" t="s">
        <v>201</v>
      </c>
    </row>
    <row r="20" spans="2:2" ht="18" customHeight="1" x14ac:dyDescent="0.25">
      <c r="B20" s="73" t="s">
        <v>202</v>
      </c>
    </row>
    <row r="21" spans="2:2" ht="18" customHeight="1" x14ac:dyDescent="0.25">
      <c r="B21" s="74" t="s">
        <v>203</v>
      </c>
    </row>
    <row r="22" spans="2:2" ht="18" customHeight="1" x14ac:dyDescent="0.25">
      <c r="B22" s="71"/>
    </row>
    <row r="23" spans="2:2" ht="18" customHeight="1" x14ac:dyDescent="0.25">
      <c r="B23" s="72" t="s">
        <v>204</v>
      </c>
    </row>
    <row r="24" spans="2:2" ht="18" customHeight="1" x14ac:dyDescent="0.25">
      <c r="B24" s="73" t="s">
        <v>205</v>
      </c>
    </row>
    <row r="25" spans="2:2" ht="18" customHeight="1" x14ac:dyDescent="0.25">
      <c r="B25" s="74" t="s">
        <v>206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DASHBOARD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jota santos</cp:lastModifiedBy>
  <cp:revision>0</cp:revision>
  <dcterms:created xsi:type="dcterms:W3CDTF">2026-04-15T03:15:01Z</dcterms:created>
  <dcterms:modified xsi:type="dcterms:W3CDTF">2026-04-17T11:06:44Z</dcterms:modified>
  <dc:language>en-US</dc:language>
</cp:coreProperties>
</file>